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435" windowWidth="15195" windowHeight="11640" activeTab="0"/>
  </bookViews>
  <sheets>
    <sheet name="Радиаторная сцепка" sheetId="1" r:id="rId1"/>
    <sheet name="Экспонента" sheetId="2" r:id="rId2"/>
    <sheet name="Мощность радиатора" sheetId="3" r:id="rId3"/>
    <sheet name="Пересчет Kv" sheetId="4" r:id="rId4"/>
    <sheet name="Сопротивление радиатора GALANT" sheetId="5" r:id="rId5"/>
    <sheet name="Сопротивление радиатора KERMI" sheetId="6" r:id="rId6"/>
    <sheet name="Расчет регистра " sheetId="7" r:id="rId7"/>
  </sheets>
  <definedNames>
    <definedName name="_xlnm.Print_Area" localSheetId="0">'Радиаторная сцепка'!$A$1:$AF$32</definedName>
  </definedNames>
  <calcPr fullCalcOnLoad="1"/>
</workbook>
</file>

<file path=xl/sharedStrings.xml><?xml version="1.0" encoding="utf-8"?>
<sst xmlns="http://schemas.openxmlformats.org/spreadsheetml/2006/main" count="227" uniqueCount="108">
  <si>
    <t>tпод=</t>
  </si>
  <si>
    <t>t=</t>
  </si>
  <si>
    <t>Q, Вт =</t>
  </si>
  <si>
    <t xml:space="preserve">dt = </t>
  </si>
  <si>
    <t>tобр=</t>
  </si>
  <si>
    <t>Дж/кг*С</t>
  </si>
  <si>
    <t>С</t>
  </si>
  <si>
    <t>кг/м^3</t>
  </si>
  <si>
    <t>х10(-6)</t>
  </si>
  <si>
    <t>Теплоноситель ВОДА  с параметрами:</t>
  </si>
  <si>
    <t>Гидравлические показатели:</t>
  </si>
  <si>
    <t>мм</t>
  </si>
  <si>
    <t>м</t>
  </si>
  <si>
    <t>L =</t>
  </si>
  <si>
    <t>v =</t>
  </si>
  <si>
    <t>м/с</t>
  </si>
  <si>
    <t>Скорость потока.</t>
  </si>
  <si>
    <t>Внутренний диаметр трубы.</t>
  </si>
  <si>
    <t>Длина трубы.</t>
  </si>
  <si>
    <t>tср=</t>
  </si>
  <si>
    <t>Вт</t>
  </si>
  <si>
    <t>кг/с</t>
  </si>
  <si>
    <t>л/ч</t>
  </si>
  <si>
    <r>
      <t>d</t>
    </r>
    <r>
      <rPr>
        <b/>
        <sz val="10"/>
        <rFont val="Arial Cyr"/>
        <family val="2"/>
      </rPr>
      <t>вн</t>
    </r>
    <r>
      <rPr>
        <b/>
        <sz val="12"/>
        <rFont val="Arial Cyr"/>
        <family val="2"/>
      </rPr>
      <t xml:space="preserve"> =</t>
    </r>
  </si>
  <si>
    <r>
      <t>Q</t>
    </r>
    <r>
      <rPr>
        <b/>
        <sz val="10"/>
        <color indexed="10"/>
        <rFont val="Arial Cyr"/>
        <family val="2"/>
      </rPr>
      <t>max</t>
    </r>
    <r>
      <rPr>
        <b/>
        <sz val="12"/>
        <color indexed="10"/>
        <rFont val="Arial Cyr"/>
        <family val="2"/>
      </rPr>
      <t xml:space="preserve"> </t>
    </r>
    <r>
      <rPr>
        <b/>
        <sz val="12"/>
        <rFont val="Arial Cyr"/>
        <family val="2"/>
      </rPr>
      <t>=</t>
    </r>
  </si>
  <si>
    <r>
      <t>G</t>
    </r>
    <r>
      <rPr>
        <b/>
        <sz val="10"/>
        <color indexed="12"/>
        <rFont val="Arial Cyr"/>
        <family val="2"/>
      </rPr>
      <t>max</t>
    </r>
    <r>
      <rPr>
        <b/>
        <sz val="12"/>
        <color indexed="12"/>
        <rFont val="Arial Cyr"/>
        <family val="2"/>
      </rPr>
      <t xml:space="preserve"> </t>
    </r>
    <r>
      <rPr>
        <b/>
        <sz val="12"/>
        <rFont val="Arial Cyr"/>
        <family val="2"/>
      </rPr>
      <t>=</t>
    </r>
  </si>
  <si>
    <t>Па/м</t>
  </si>
  <si>
    <t>Па</t>
  </si>
  <si>
    <r>
      <t>Z</t>
    </r>
    <r>
      <rPr>
        <b/>
        <sz val="8"/>
        <rFont val="Arial Cyr"/>
        <family val="2"/>
      </rPr>
      <t>0</t>
    </r>
    <r>
      <rPr>
        <b/>
        <sz val="12"/>
        <rFont val="Arial Cyr"/>
        <family val="2"/>
      </rPr>
      <t xml:space="preserve"> =</t>
    </r>
  </si>
  <si>
    <r>
      <t>Z</t>
    </r>
    <r>
      <rPr>
        <b/>
        <sz val="12"/>
        <rFont val="Arial Cyr"/>
        <family val="2"/>
      </rPr>
      <t xml:space="preserve"> =</t>
    </r>
  </si>
  <si>
    <t>Удельное сопротивление трубы.</t>
  </si>
  <si>
    <t>Потери на местные сопротивления.</t>
  </si>
  <si>
    <t>Потери на трения в трубах.</t>
  </si>
  <si>
    <t>P =</t>
  </si>
  <si>
    <t>R =</t>
  </si>
  <si>
    <t>Ke =</t>
  </si>
  <si>
    <t>Суммарнае потери давления.</t>
  </si>
  <si>
    <t>x10(-6)</t>
  </si>
  <si>
    <r>
      <t>S</t>
    </r>
    <r>
      <rPr>
        <sz val="10"/>
        <rFont val="Arial Cyr"/>
        <family val="2"/>
      </rPr>
      <t xml:space="preserve"> коэф. мест. сопротивлений.</t>
    </r>
  </si>
  <si>
    <t>Сопр. радиатора, вентиля и др.</t>
  </si>
  <si>
    <r>
      <t xml:space="preserve">Если количество радиаторов в сцепке меньше 4, то  мощность "лишних" радиаторов </t>
    </r>
    <r>
      <rPr>
        <b/>
        <sz val="8"/>
        <color indexed="10"/>
        <rFont val="Arial Cyr"/>
        <family val="2"/>
      </rPr>
      <t>Q, Вт =</t>
    </r>
    <r>
      <rPr>
        <sz val="8"/>
        <rFont val="Arial Cyr"/>
        <family val="2"/>
      </rPr>
      <t xml:space="preserve"> </t>
    </r>
    <r>
      <rPr>
        <b/>
        <sz val="8"/>
        <rFont val="Arial Cyr"/>
        <family val="2"/>
      </rPr>
      <t>0.</t>
    </r>
  </si>
  <si>
    <r>
      <t xml:space="preserve">r </t>
    </r>
    <r>
      <rPr>
        <b/>
        <sz val="12"/>
        <rFont val="Symbol"/>
        <family val="1"/>
      </rPr>
      <t>=</t>
    </r>
  </si>
  <si>
    <t>C =</t>
  </si>
  <si>
    <r>
      <t xml:space="preserve">m </t>
    </r>
    <r>
      <rPr>
        <b/>
        <sz val="12"/>
        <rFont val="Symbol"/>
        <family val="1"/>
      </rPr>
      <t>=</t>
    </r>
  </si>
  <si>
    <t>Теплоемкость.</t>
  </si>
  <si>
    <t>Плотность.</t>
  </si>
  <si>
    <t>Коэф. вязкости.</t>
  </si>
  <si>
    <r>
      <t xml:space="preserve">Коэф. затекания  </t>
    </r>
    <r>
      <rPr>
        <sz val="14"/>
        <rFont val="Symbol"/>
        <family val="1"/>
      </rPr>
      <t>w</t>
    </r>
  </si>
  <si>
    <t>Sx =</t>
  </si>
  <si>
    <r>
      <t>S</t>
    </r>
    <r>
      <rPr>
        <b/>
        <sz val="10"/>
        <rFont val="Arial"/>
        <family val="2"/>
      </rPr>
      <t>P</t>
    </r>
    <r>
      <rPr>
        <b/>
        <sz val="12"/>
        <rFont val="Symbol"/>
        <family val="1"/>
      </rPr>
      <t xml:space="preserve"> =</t>
    </r>
  </si>
  <si>
    <t>G, л/ч =</t>
  </si>
  <si>
    <t>Ref=</t>
  </si>
  <si>
    <t>Rekv=</t>
  </si>
  <si>
    <t>b=</t>
  </si>
  <si>
    <t>Коэф. шероховатости (для МП Ke=10)</t>
  </si>
  <si>
    <r>
      <t>DR</t>
    </r>
    <r>
      <rPr>
        <sz val="12"/>
        <rFont val="Arial Cyr"/>
        <family val="0"/>
      </rPr>
      <t>=</t>
    </r>
  </si>
  <si>
    <t>Kv=</t>
  </si>
  <si>
    <t xml:space="preserve">Предустановка </t>
  </si>
  <si>
    <r>
      <t>Sx</t>
    </r>
    <r>
      <rPr>
        <sz val="12"/>
        <rFont val="Arial Cyr"/>
        <family val="0"/>
      </rPr>
      <t>=</t>
    </r>
  </si>
  <si>
    <t>dв=</t>
  </si>
  <si>
    <t>r=</t>
  </si>
  <si>
    <r>
      <t xml:space="preserve">Пересчет Kv в </t>
    </r>
    <r>
      <rPr>
        <sz val="12"/>
        <color indexed="10"/>
        <rFont val="Symbol"/>
        <family val="1"/>
      </rPr>
      <t>Sx</t>
    </r>
  </si>
  <si>
    <t>Q,Вт</t>
  </si>
  <si>
    <r>
      <t>Сопротивление радиатора , Па.</t>
    </r>
    <r>
      <rPr>
        <sz val="10"/>
        <rFont val="Arial Cyr"/>
        <family val="0"/>
      </rPr>
      <t xml:space="preserve"> </t>
    </r>
  </si>
  <si>
    <t>Установка.</t>
  </si>
  <si>
    <t>Расход.</t>
  </si>
  <si>
    <t>Параметры теплоносителя.</t>
  </si>
  <si>
    <t xml:space="preserve">Пересчет мощности радиатора. </t>
  </si>
  <si>
    <t xml:space="preserve">DIN EN 442 </t>
  </si>
  <si>
    <t xml:space="preserve">Тпод=90  Тобр=70  Тпом=20 </t>
  </si>
  <si>
    <t xml:space="preserve">Табличные параметры </t>
  </si>
  <si>
    <t>Tпод =</t>
  </si>
  <si>
    <t>Температура подачи.</t>
  </si>
  <si>
    <t>DIN 4701</t>
  </si>
  <si>
    <t xml:space="preserve">Тпод=75  Тобр=65  Тпом=20 </t>
  </si>
  <si>
    <t>Тобр =</t>
  </si>
  <si>
    <t>Температура обратки.</t>
  </si>
  <si>
    <t>Тпом =</t>
  </si>
  <si>
    <t>Температура помещения</t>
  </si>
  <si>
    <r>
      <t>D</t>
    </r>
    <r>
      <rPr>
        <sz val="10"/>
        <rFont val="Arial Cyr"/>
        <family val="0"/>
      </rPr>
      <t>=</t>
    </r>
  </si>
  <si>
    <t>Qрад =</t>
  </si>
  <si>
    <t>Мощность радиатора Вт.</t>
  </si>
  <si>
    <t>n =</t>
  </si>
  <si>
    <t>коэф=</t>
  </si>
  <si>
    <t>Требуемые параметры</t>
  </si>
  <si>
    <t>k =</t>
  </si>
  <si>
    <t>Коэффициент пересчета.</t>
  </si>
  <si>
    <t>Q =</t>
  </si>
  <si>
    <t>Табличные параметры 1</t>
  </si>
  <si>
    <t>Табличные параметры 2</t>
  </si>
  <si>
    <t xml:space="preserve">Определение экспоненты радиатора. </t>
  </si>
  <si>
    <t>k1 =</t>
  </si>
  <si>
    <t>k2 =</t>
  </si>
  <si>
    <t xml:space="preserve">Расчет регистра из гладких труб. </t>
  </si>
  <si>
    <t>Экспонента регистра.</t>
  </si>
  <si>
    <t>Qрег =</t>
  </si>
  <si>
    <t>L=</t>
  </si>
  <si>
    <t>K=</t>
  </si>
  <si>
    <t>Dнар=</t>
  </si>
  <si>
    <t>Длина регистра, м.</t>
  </si>
  <si>
    <t>Кол-во труб, шт.</t>
  </si>
  <si>
    <t>Наружный диаметр, мм.</t>
  </si>
  <si>
    <t>S=</t>
  </si>
  <si>
    <t>Площадь поверхности, м^2.</t>
  </si>
  <si>
    <t>Экспонента радиатора.</t>
  </si>
  <si>
    <r>
      <t xml:space="preserve">Мощность регистра при </t>
    </r>
    <r>
      <rPr>
        <sz val="10"/>
        <rFont val="Symbol"/>
        <family val="1"/>
      </rPr>
      <t>D</t>
    </r>
    <r>
      <rPr>
        <sz val="10"/>
        <rFont val="Arial Cyr"/>
        <family val="0"/>
      </rPr>
      <t>=60.</t>
    </r>
  </si>
  <si>
    <r>
      <t xml:space="preserve">Мощность Вт/м^2 при </t>
    </r>
    <r>
      <rPr>
        <sz val="10"/>
        <rFont val="Symbol"/>
        <family val="1"/>
      </rPr>
      <t>D</t>
    </r>
    <r>
      <rPr>
        <sz val="10"/>
        <rFont val="Arial Cyr"/>
        <family val="0"/>
      </rPr>
      <t>=60.</t>
    </r>
  </si>
  <si>
    <t>Расчет радиаторной сцепки (от "1" до 6 шт.).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</si>
</sst>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#,##0.0"/>
    <numFmt numFmtId="168" formatCode="000000"/>
  </numFmts>
  <fonts count="6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2"/>
      <name val="Arial Cyr"/>
      <family val="0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sz val="12"/>
      <color indexed="12"/>
      <name val="Arial Cyr"/>
      <family val="2"/>
    </font>
    <font>
      <sz val="12"/>
      <color indexed="14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2"/>
      <name val="Symbol"/>
      <family val="1"/>
    </font>
    <font>
      <b/>
      <sz val="14"/>
      <name val="Symbol"/>
      <family val="1"/>
    </font>
    <font>
      <b/>
      <sz val="10"/>
      <color indexed="12"/>
      <name val="Arial Cyr"/>
      <family val="2"/>
    </font>
    <font>
      <sz val="8"/>
      <name val="Arial Cyr"/>
      <family val="2"/>
    </font>
    <font>
      <sz val="10"/>
      <name val="Symbol"/>
      <family val="1"/>
    </font>
    <font>
      <b/>
      <sz val="8"/>
      <name val="Arial Cyr"/>
      <family val="2"/>
    </font>
    <font>
      <b/>
      <sz val="14"/>
      <name val="Arial Cyr"/>
      <family val="2"/>
    </font>
    <font>
      <b/>
      <sz val="8"/>
      <color indexed="10"/>
      <name val="Arial Cyr"/>
      <family val="2"/>
    </font>
    <font>
      <sz val="14"/>
      <name val="Symbol"/>
      <family val="1"/>
    </font>
    <font>
      <b/>
      <sz val="10"/>
      <name val="Arial"/>
      <family val="2"/>
    </font>
    <font>
      <sz val="12"/>
      <name val="Symbol"/>
      <family val="1"/>
    </font>
    <font>
      <sz val="12"/>
      <color indexed="22"/>
      <name val="Arial Cyr"/>
      <family val="0"/>
    </font>
    <font>
      <sz val="12"/>
      <color indexed="9"/>
      <name val="Arial Cyr"/>
      <family val="0"/>
    </font>
    <font>
      <sz val="12"/>
      <color indexed="10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48"/>
      <name val="Arial Cyr"/>
      <family val="2"/>
    </font>
    <font>
      <sz val="10"/>
      <color indexed="10"/>
      <name val="Arial Cyr"/>
      <family val="2"/>
    </font>
    <font>
      <b/>
      <sz val="10"/>
      <color indexed="4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" fillId="0" borderId="19" xfId="0" applyFont="1" applyBorder="1" applyAlignment="1">
      <alignment/>
    </xf>
    <xf numFmtId="1" fontId="1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66" fontId="1" fillId="0" borderId="19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6" fontId="0" fillId="0" borderId="19" xfId="0" applyNumberFormat="1" applyFont="1" applyBorder="1" applyAlignment="1">
      <alignment/>
    </xf>
    <xf numFmtId="165" fontId="2" fillId="0" borderId="19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2" fillId="0" borderId="23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0" fillId="0" borderId="26" xfId="0" applyFont="1" applyBorder="1" applyAlignment="1">
      <alignment horizontal="right"/>
    </xf>
    <xf numFmtId="0" fontId="1" fillId="0" borderId="26" xfId="0" applyFont="1" applyBorder="1" applyAlignment="1">
      <alignment/>
    </xf>
    <xf numFmtId="0" fontId="0" fillId="0" borderId="26" xfId="0" applyFont="1" applyBorder="1" applyAlignment="1">
      <alignment/>
    </xf>
    <xf numFmtId="165" fontId="5" fillId="0" borderId="19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27" xfId="0" applyFont="1" applyFill="1" applyBorder="1" applyAlignment="1" applyProtection="1">
      <alignment horizontal="center"/>
      <protection locked="0"/>
    </xf>
    <xf numFmtId="0" fontId="2" fillId="33" borderId="28" xfId="0" applyFont="1" applyFill="1" applyBorder="1" applyAlignment="1" applyProtection="1">
      <alignment horizontal="center"/>
      <protection locked="0"/>
    </xf>
    <xf numFmtId="0" fontId="6" fillId="33" borderId="28" xfId="0" applyFont="1" applyFill="1" applyBorder="1" applyAlignment="1" applyProtection="1">
      <alignment horizontal="center"/>
      <protection locked="0"/>
    </xf>
    <xf numFmtId="0" fontId="5" fillId="33" borderId="27" xfId="0" applyFont="1" applyFill="1" applyBorder="1" applyAlignment="1" applyProtection="1">
      <alignment horizontal="center"/>
      <protection locked="0"/>
    </xf>
    <xf numFmtId="3" fontId="2" fillId="0" borderId="19" xfId="0" applyNumberFormat="1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166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167" fontId="2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2" fillId="0" borderId="29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3" fontId="2" fillId="0" borderId="19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165" fontId="21" fillId="0" borderId="0" xfId="0" applyNumberFormat="1" applyFont="1" applyAlignment="1">
      <alignment/>
    </xf>
    <xf numFmtId="165" fontId="21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right"/>
    </xf>
    <xf numFmtId="165" fontId="1" fillId="0" borderId="15" xfId="0" applyNumberFormat="1" applyFont="1" applyBorder="1" applyAlignment="1">
      <alignment horizontal="left"/>
    </xf>
    <xf numFmtId="0" fontId="22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hidden="1"/>
    </xf>
    <xf numFmtId="0" fontId="20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33" borderId="28" xfId="0" applyFont="1" applyFill="1" applyBorder="1" applyAlignment="1" applyProtection="1">
      <alignment horizontal="center"/>
      <protection locked="0"/>
    </xf>
    <xf numFmtId="2" fontId="4" fillId="0" borderId="0" xfId="0" applyNumberFormat="1" applyFont="1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23" xfId="0" applyFont="1" applyBorder="1" applyAlignment="1" applyProtection="1">
      <alignment horizontal="right"/>
      <protection/>
    </xf>
    <xf numFmtId="0" fontId="2" fillId="0" borderId="20" xfId="0" applyFont="1" applyBorder="1" applyAlignment="1" applyProtection="1">
      <alignment horizontal="right"/>
      <protection/>
    </xf>
    <xf numFmtId="0" fontId="1" fillId="0" borderId="19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horizontal="right"/>
      <protection/>
    </xf>
    <xf numFmtId="0" fontId="2" fillId="0" borderId="20" xfId="0" applyFont="1" applyBorder="1" applyAlignment="1" applyProtection="1">
      <alignment horizontal="right"/>
      <protection/>
    </xf>
    <xf numFmtId="1" fontId="1" fillId="0" borderId="19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/>
    </xf>
    <xf numFmtId="0" fontId="11" fillId="0" borderId="20" xfId="0" applyFont="1" applyBorder="1" applyAlignment="1" applyProtection="1">
      <alignment horizontal="right"/>
      <protection/>
    </xf>
    <xf numFmtId="166" fontId="1" fillId="0" borderId="19" xfId="0" applyNumberFormat="1" applyFont="1" applyBorder="1" applyAlignment="1" applyProtection="1">
      <alignment horizontal="center"/>
      <protection/>
    </xf>
    <xf numFmtId="165" fontId="1" fillId="0" borderId="19" xfId="0" applyNumberFormat="1" applyFont="1" applyBorder="1" applyAlignment="1" applyProtection="1">
      <alignment horizontal="center"/>
      <protection/>
    </xf>
    <xf numFmtId="16" fontId="0" fillId="0" borderId="19" xfId="0" applyNumberFormat="1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right"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2" fontId="1" fillId="0" borderId="22" xfId="0" applyNumberFormat="1" applyFont="1" applyBorder="1" applyAlignment="1" applyProtection="1">
      <alignment horizontal="center"/>
      <protection/>
    </xf>
    <xf numFmtId="3" fontId="1" fillId="0" borderId="36" xfId="0" applyNumberFormat="1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2" fontId="1" fillId="0" borderId="21" xfId="0" applyNumberFormat="1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/>
      <protection/>
    </xf>
    <xf numFmtId="2" fontId="1" fillId="0" borderId="39" xfId="0" applyNumberFormat="1" applyFont="1" applyBorder="1" applyAlignment="1" applyProtection="1">
      <alignment horizontal="center"/>
      <protection/>
    </xf>
    <xf numFmtId="0" fontId="6" fillId="33" borderId="36" xfId="0" applyFont="1" applyFill="1" applyBorder="1" applyAlignment="1" applyProtection="1">
      <alignment horizontal="center"/>
      <protection locked="0"/>
    </xf>
    <xf numFmtId="0" fontId="5" fillId="33" borderId="30" xfId="0" applyFont="1" applyFill="1" applyBorder="1" applyAlignment="1" applyProtection="1">
      <alignment horizontal="center"/>
      <protection locked="0"/>
    </xf>
    <xf numFmtId="3" fontId="1" fillId="0" borderId="40" xfId="0" applyNumberFormat="1" applyFont="1" applyBorder="1" applyAlignment="1" applyProtection="1">
      <alignment horizontal="center"/>
      <protection/>
    </xf>
    <xf numFmtId="3" fontId="1" fillId="0" borderId="41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3" fontId="1" fillId="34" borderId="36" xfId="0" applyNumberFormat="1" applyFont="1" applyFill="1" applyBorder="1" applyAlignment="1" applyProtection="1">
      <alignment horizontal="center"/>
      <protection/>
    </xf>
    <xf numFmtId="3" fontId="1" fillId="34" borderId="41" xfId="0" applyNumberFormat="1" applyFont="1" applyFill="1" applyBorder="1" applyAlignment="1" applyProtection="1">
      <alignment horizontal="center"/>
      <protection/>
    </xf>
    <xf numFmtId="3" fontId="1" fillId="34" borderId="40" xfId="0" applyNumberFormat="1" applyFont="1" applyFill="1" applyBorder="1" applyAlignment="1" applyProtection="1">
      <alignment horizontal="center"/>
      <protection/>
    </xf>
    <xf numFmtId="3" fontId="1" fillId="34" borderId="42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1" fillId="0" borderId="33" xfId="0" applyNumberFormat="1" applyFont="1" applyBorder="1" applyAlignment="1" applyProtection="1">
      <alignment horizontal="center"/>
      <protection/>
    </xf>
    <xf numFmtId="3" fontId="1" fillId="0" borderId="33" xfId="0" applyNumberFormat="1" applyFont="1" applyFill="1" applyBorder="1" applyAlignment="1" applyProtection="1">
      <alignment horizontal="center"/>
      <protection/>
    </xf>
    <xf numFmtId="3" fontId="1" fillId="0" borderId="34" xfId="0" applyNumberFormat="1" applyFont="1" applyFill="1" applyBorder="1" applyAlignment="1" applyProtection="1">
      <alignment horizontal="center"/>
      <protection/>
    </xf>
    <xf numFmtId="3" fontId="1" fillId="0" borderId="32" xfId="0" applyNumberFormat="1" applyFont="1" applyBorder="1" applyAlignment="1" applyProtection="1">
      <alignment horizontal="center"/>
      <protection/>
    </xf>
    <xf numFmtId="0" fontId="6" fillId="33" borderId="30" xfId="0" applyFont="1" applyFill="1" applyBorder="1" applyAlignment="1" applyProtection="1">
      <alignment horizontal="center"/>
      <protection locked="0"/>
    </xf>
    <xf numFmtId="1" fontId="5" fillId="0" borderId="31" xfId="0" applyNumberFormat="1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Alignment="1">
      <alignment horizontal="right"/>
    </xf>
    <xf numFmtId="0" fontId="0" fillId="0" borderId="0" xfId="0" applyAlignment="1" applyProtection="1">
      <alignment horizontal="center"/>
      <protection/>
    </xf>
    <xf numFmtId="1" fontId="27" fillId="0" borderId="0" xfId="0" applyNumberFormat="1" applyFont="1" applyAlignment="1" applyProtection="1">
      <alignment horizontal="center"/>
      <protection locked="0"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2" fontId="8" fillId="33" borderId="0" xfId="0" applyNumberFormat="1" applyFont="1" applyFill="1" applyAlignment="1">
      <alignment horizontal="center"/>
    </xf>
    <xf numFmtId="166" fontId="8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66" fontId="28" fillId="0" borderId="0" xfId="0" applyNumberFormat="1" applyFont="1" applyAlignment="1">
      <alignment horizontal="center"/>
    </xf>
    <xf numFmtId="0" fontId="8" fillId="33" borderId="0" xfId="0" applyFont="1" applyFill="1" applyAlignment="1">
      <alignment horizontal="right"/>
    </xf>
    <xf numFmtId="164" fontId="28" fillId="33" borderId="0" xfId="0" applyNumberFormat="1" applyFont="1" applyFill="1" applyAlignment="1">
      <alignment horizontal="center"/>
    </xf>
    <xf numFmtId="1" fontId="9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164" fontId="8" fillId="33" borderId="0" xfId="0" applyNumberFormat="1" applyFont="1" applyFill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" fontId="27" fillId="0" borderId="0" xfId="0" applyNumberFormat="1" applyFont="1" applyAlignment="1" applyProtection="1">
      <alignment horizontal="center"/>
      <protection/>
    </xf>
    <xf numFmtId="2" fontId="27" fillId="0" borderId="0" xfId="0" applyNumberFormat="1" applyFont="1" applyAlignment="1" applyProtection="1">
      <alignment horizontal="center"/>
      <protection/>
    </xf>
    <xf numFmtId="2" fontId="27" fillId="0" borderId="0" xfId="0" applyNumberFormat="1" applyFont="1" applyAlignment="1" applyProtection="1">
      <alignment horizontal="center"/>
      <protection/>
    </xf>
    <xf numFmtId="164" fontId="8" fillId="33" borderId="0" xfId="0" applyNumberFormat="1" applyFont="1" applyFill="1" applyAlignment="1" applyProtection="1">
      <alignment horizontal="center"/>
      <protection/>
    </xf>
    <xf numFmtId="3" fontId="1" fillId="0" borderId="41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3" fontId="1" fillId="0" borderId="36" xfId="0" applyNumberFormat="1" applyFont="1" applyFill="1" applyBorder="1" applyAlignment="1" applyProtection="1">
      <alignment horizontal="center"/>
      <protection/>
    </xf>
    <xf numFmtId="3" fontId="1" fillId="0" borderId="40" xfId="0" applyNumberFormat="1" applyFont="1" applyFill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center"/>
      <protection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3" fontId="1" fillId="19" borderId="36" xfId="0" applyNumberFormat="1" applyFont="1" applyFill="1" applyBorder="1" applyAlignment="1" applyProtection="1">
      <alignment horizontal="center"/>
      <protection/>
    </xf>
    <xf numFmtId="3" fontId="1" fillId="19" borderId="40" xfId="0" applyNumberFormat="1" applyFont="1" applyFill="1" applyBorder="1" applyAlignment="1" applyProtection="1">
      <alignment horizontal="center"/>
      <protection/>
    </xf>
    <xf numFmtId="3" fontId="1" fillId="19" borderId="41" xfId="0" applyNumberFormat="1" applyFont="1" applyFill="1" applyBorder="1" applyAlignment="1" applyProtection="1">
      <alignment horizontal="center"/>
      <protection/>
    </xf>
    <xf numFmtId="3" fontId="1" fillId="19" borderId="42" xfId="0" applyNumberFormat="1" applyFont="1" applyFill="1" applyBorder="1" applyAlignment="1" applyProtection="1">
      <alignment horizontal="center"/>
      <protection/>
    </xf>
    <xf numFmtId="166" fontId="9" fillId="33" borderId="0" xfId="0" applyNumberFormat="1" applyFont="1" applyFill="1" applyAlignment="1">
      <alignment horizontal="center"/>
    </xf>
    <xf numFmtId="0" fontId="1" fillId="0" borderId="0" xfId="0" applyFont="1" applyAlignment="1" applyProtection="1">
      <alignment/>
      <protection hidden="1"/>
    </xf>
    <xf numFmtId="0" fontId="0" fillId="0" borderId="47" xfId="0" applyFont="1" applyBorder="1" applyAlignment="1" applyProtection="1">
      <alignment/>
      <protection hidden="1"/>
    </xf>
    <xf numFmtId="0" fontId="1" fillId="0" borderId="48" xfId="0" applyFont="1" applyBorder="1" applyAlignment="1" applyProtection="1">
      <alignment/>
      <protection hidden="1"/>
    </xf>
    <xf numFmtId="0" fontId="1" fillId="0" borderId="30" xfId="0" applyFont="1" applyBorder="1" applyAlignment="1" applyProtection="1">
      <alignment/>
      <protection hidden="1"/>
    </xf>
    <xf numFmtId="2" fontId="7" fillId="0" borderId="0" xfId="0" applyNumberFormat="1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" fillId="0" borderId="49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1" fillId="0" borderId="50" xfId="0" applyFont="1" applyBorder="1" applyAlignment="1" applyProtection="1">
      <alignment/>
      <protection hidden="1"/>
    </xf>
    <xf numFmtId="0" fontId="1" fillId="0" borderId="51" xfId="0" applyFont="1" applyBorder="1" applyAlignment="1" applyProtection="1">
      <alignment/>
      <protection hidden="1"/>
    </xf>
    <xf numFmtId="0" fontId="1" fillId="0" borderId="47" xfId="0" applyFont="1" applyBorder="1" applyAlignment="1" applyProtection="1">
      <alignment/>
      <protection hidden="1"/>
    </xf>
    <xf numFmtId="0" fontId="1" fillId="0" borderId="48" xfId="0" applyFont="1" applyBorder="1" applyAlignment="1" applyProtection="1">
      <alignment horizontal="right"/>
      <protection hidden="1"/>
    </xf>
    <xf numFmtId="2" fontId="4" fillId="0" borderId="48" xfId="0" applyNumberFormat="1" applyFont="1" applyBorder="1" applyAlignment="1" applyProtection="1">
      <alignment horizontal="left"/>
      <protection hidden="1"/>
    </xf>
    <xf numFmtId="0" fontId="3" fillId="0" borderId="48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right"/>
      <protection hidden="1"/>
    </xf>
    <xf numFmtId="2" fontId="4" fillId="0" borderId="0" xfId="0" applyNumberFormat="1" applyFont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3" fontId="1" fillId="0" borderId="0" xfId="0" applyNumberFormat="1" applyFont="1" applyAlignment="1" applyProtection="1">
      <alignment horizontal="left"/>
      <protection hidden="1"/>
    </xf>
    <xf numFmtId="2" fontId="2" fillId="35" borderId="18" xfId="0" applyNumberFormat="1" applyFont="1" applyFill="1" applyBorder="1" applyAlignment="1" applyProtection="1">
      <alignment horizontal="center"/>
      <protection locked="0"/>
    </xf>
    <xf numFmtId="0" fontId="1" fillId="0" borderId="5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/>
      <protection/>
    </xf>
    <xf numFmtId="0" fontId="8" fillId="0" borderId="3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31" xfId="0" applyFont="1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0" fontId="8" fillId="0" borderId="45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1" fillId="0" borderId="5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39"/>
  <sheetViews>
    <sheetView tabSelected="1" zoomScalePageLayoutView="0" workbookViewId="0" topLeftCell="A1">
      <selection activeCell="M27" sqref="M27"/>
    </sheetView>
  </sheetViews>
  <sheetFormatPr defaultColWidth="9.00390625" defaultRowHeight="12.75"/>
  <cols>
    <col min="1" max="3" width="9.125" style="1" customWidth="1"/>
    <col min="4" max="4" width="9.375" style="1" customWidth="1"/>
    <col min="5" max="5" width="2.375" style="1" customWidth="1"/>
    <col min="6" max="6" width="2.625" style="1" customWidth="1"/>
    <col min="7" max="7" width="7.25390625" style="1" customWidth="1"/>
    <col min="8" max="8" width="9.125" style="1" customWidth="1"/>
    <col min="9" max="9" width="8.125" style="1" customWidth="1"/>
    <col min="10" max="11" width="2.875" style="1" customWidth="1"/>
    <col min="12" max="12" width="7.375" style="1" customWidth="1"/>
    <col min="13" max="13" width="9.875" style="1" customWidth="1"/>
    <col min="14" max="14" width="8.125" style="1" customWidth="1"/>
    <col min="15" max="15" width="2.625" style="1" customWidth="1"/>
    <col min="16" max="16" width="2.875" style="1" customWidth="1"/>
    <col min="17" max="17" width="8.00390625" style="1" customWidth="1"/>
    <col min="18" max="18" width="9.125" style="1" customWidth="1"/>
    <col min="19" max="19" width="8.25390625" style="1" customWidth="1"/>
    <col min="20" max="21" width="2.875" style="1" customWidth="1"/>
    <col min="22" max="24" width="9.125" style="1" customWidth="1"/>
    <col min="25" max="25" width="4.00390625" style="1" customWidth="1"/>
    <col min="26" max="26" width="3.625" style="1" customWidth="1"/>
    <col min="27" max="29" width="9.125" style="1" customWidth="1"/>
    <col min="30" max="30" width="4.375" style="1" customWidth="1"/>
    <col min="31" max="31" width="4.125" style="1" customWidth="1"/>
    <col min="32" max="32" width="9.875" style="1" customWidth="1"/>
    <col min="33" max="16384" width="9.125" style="1" customWidth="1"/>
  </cols>
  <sheetData>
    <row r="2" ht="18">
      <c r="B2" s="47" t="s">
        <v>107</v>
      </c>
    </row>
    <row r="3" ht="15">
      <c r="B3" s="48" t="s">
        <v>40</v>
      </c>
    </row>
    <row r="5" spans="3:22" ht="15.75" thickBot="1">
      <c r="C5" s="61" t="s">
        <v>57</v>
      </c>
      <c r="D5" s="71">
        <v>6</v>
      </c>
      <c r="G5" s="65"/>
      <c r="L5" s="65"/>
      <c r="Q5" s="65"/>
      <c r="V5" s="65"/>
    </row>
    <row r="6" spans="2:32" ht="16.5" thickBot="1">
      <c r="B6" s="70">
        <f>IF(D5=1,0.047,IF(D5=2,0.126,IF(D5=3,0.269,IF(D5=4,0.417,IF(D5=5,0.6,IF(D5=6,0.7,0))))))</f>
        <v>0.7</v>
      </c>
      <c r="C6" s="2"/>
      <c r="D6" s="3"/>
      <c r="E6" s="63"/>
      <c r="F6" s="72">
        <v>1</v>
      </c>
      <c r="G6" s="66"/>
      <c r="H6" s="2"/>
      <c r="I6" s="3"/>
      <c r="J6" s="63"/>
      <c r="K6" s="72">
        <v>2</v>
      </c>
      <c r="L6" s="67"/>
      <c r="M6" s="2"/>
      <c r="N6" s="3"/>
      <c r="O6" s="63"/>
      <c r="P6" s="72">
        <v>3</v>
      </c>
      <c r="Q6" s="67"/>
      <c r="R6" s="2"/>
      <c r="S6" s="3"/>
      <c r="T6" s="63"/>
      <c r="U6" s="72">
        <v>4</v>
      </c>
      <c r="V6" s="67"/>
      <c r="W6" s="2"/>
      <c r="X6" s="3"/>
      <c r="Y6" s="63"/>
      <c r="Z6" s="72">
        <v>5</v>
      </c>
      <c r="AA6" s="67"/>
      <c r="AB6" s="2"/>
      <c r="AC6" s="3"/>
      <c r="AD6" s="63"/>
      <c r="AE6" s="72">
        <v>6</v>
      </c>
      <c r="AF6" s="67"/>
    </row>
    <row r="7" spans="3:31" ht="15.75">
      <c r="C7" s="11" t="s">
        <v>2</v>
      </c>
      <c r="D7" s="49">
        <v>800</v>
      </c>
      <c r="E7" s="5"/>
      <c r="F7" s="6"/>
      <c r="H7" s="11" t="s">
        <v>2</v>
      </c>
      <c r="I7" s="49">
        <v>800</v>
      </c>
      <c r="J7" s="5"/>
      <c r="K7" s="6"/>
      <c r="M7" s="11" t="s">
        <v>2</v>
      </c>
      <c r="N7" s="49">
        <v>800</v>
      </c>
      <c r="O7" s="5"/>
      <c r="P7" s="6"/>
      <c r="R7" s="11" t="s">
        <v>2</v>
      </c>
      <c r="S7" s="49">
        <v>800</v>
      </c>
      <c r="T7" s="5"/>
      <c r="U7" s="6"/>
      <c r="W7" s="11" t="s">
        <v>2</v>
      </c>
      <c r="X7" s="49">
        <v>800</v>
      </c>
      <c r="Y7" s="5"/>
      <c r="Z7" s="6"/>
      <c r="AB7" s="11" t="s">
        <v>2</v>
      </c>
      <c r="AC7" s="49">
        <v>800</v>
      </c>
      <c r="AD7" s="5"/>
      <c r="AE7" s="6"/>
    </row>
    <row r="8" spans="3:31" ht="15">
      <c r="C8" s="55" t="s">
        <v>50</v>
      </c>
      <c r="D8" s="56">
        <f>D11*C29</f>
        <v>63.266082203924746</v>
      </c>
      <c r="E8" s="5"/>
      <c r="F8" s="6"/>
      <c r="H8" s="55" t="s">
        <v>50</v>
      </c>
      <c r="I8" s="56">
        <f>I11*C29</f>
        <v>63.266082203924746</v>
      </c>
      <c r="J8" s="5"/>
      <c r="K8" s="6"/>
      <c r="M8" s="55" t="s">
        <v>50</v>
      </c>
      <c r="N8" s="56">
        <f>C29*N11</f>
        <v>73.8104292379122</v>
      </c>
      <c r="O8" s="5"/>
      <c r="P8" s="6"/>
      <c r="R8" s="55" t="s">
        <v>50</v>
      </c>
      <c r="S8" s="56">
        <f>C29*S11</f>
        <v>84.35477627189967</v>
      </c>
      <c r="T8" s="5"/>
      <c r="U8" s="6"/>
      <c r="W8" s="55" t="s">
        <v>50</v>
      </c>
      <c r="X8" s="56">
        <f>C29*X11</f>
        <v>94.89912330588713</v>
      </c>
      <c r="Y8" s="5"/>
      <c r="Z8" s="6"/>
      <c r="AB8" s="55" t="s">
        <v>50</v>
      </c>
      <c r="AC8" s="56">
        <f>C29*AC11</f>
        <v>105.44347033987458</v>
      </c>
      <c r="AD8" s="5"/>
      <c r="AE8" s="6"/>
    </row>
    <row r="9" spans="3:31" ht="15">
      <c r="C9" s="10" t="s">
        <v>3</v>
      </c>
      <c r="D9" s="57">
        <f>B13-G11</f>
        <v>11.111111111111114</v>
      </c>
      <c r="E9" s="5"/>
      <c r="F9" s="6"/>
      <c r="H9" s="10" t="s">
        <v>3</v>
      </c>
      <c r="I9" s="57">
        <f>H13-L11</f>
        <v>11.111111111111114</v>
      </c>
      <c r="J9" s="5"/>
      <c r="K9" s="6"/>
      <c r="M9" s="10" t="s">
        <v>3</v>
      </c>
      <c r="N9" s="57">
        <f>M13-Q11</f>
        <v>9.523809523809526</v>
      </c>
      <c r="O9" s="5"/>
      <c r="P9" s="6"/>
      <c r="R9" s="10" t="s">
        <v>3</v>
      </c>
      <c r="S9" s="57">
        <f>R13-V11</f>
        <v>8.333333333333329</v>
      </c>
      <c r="T9" s="5"/>
      <c r="U9" s="6"/>
      <c r="W9" s="10" t="s">
        <v>3</v>
      </c>
      <c r="X9" s="57">
        <f>W13-AA11</f>
        <v>7.407407407407405</v>
      </c>
      <c r="Y9" s="5"/>
      <c r="Z9" s="6"/>
      <c r="AB9" s="10" t="s">
        <v>3</v>
      </c>
      <c r="AC9" s="57">
        <f>AB13-AF11</f>
        <v>6.666666666666664</v>
      </c>
      <c r="AD9" s="5"/>
      <c r="AE9" s="6"/>
    </row>
    <row r="10" spans="3:31" ht="15.75" thickBot="1">
      <c r="C10" s="68" t="s">
        <v>56</v>
      </c>
      <c r="D10" s="69">
        <f>IF((I7+N7+S7)=0,B6,IF(D11=0.3,1.95,IF(D11=0.35,1.79,IF(D11=0.4,1.59,IF(D11=0.45,1.42,1.27)))))</f>
        <v>1.95</v>
      </c>
      <c r="E10" s="8"/>
      <c r="F10" s="9"/>
      <c r="H10" s="68" t="s">
        <v>56</v>
      </c>
      <c r="I10" s="69">
        <f>IF(I11=0.3,1.95,IF(I11=0.35,1.79,IF(I11=0.4,1.59,IF(I11=0.45,1.42,IF(I7=0,0,1.27)))))</f>
        <v>1.95</v>
      </c>
      <c r="J10" s="8"/>
      <c r="K10" s="9"/>
      <c r="M10" s="68" t="s">
        <v>56</v>
      </c>
      <c r="N10" s="69">
        <f>IF(N11=0.3,1.95,IF(N11=0.35,1.79,IF(N11=0.4,1.59,IF(N11=0.45,1.42,IF(N7=0,0,1.27)))))</f>
        <v>1.79</v>
      </c>
      <c r="O10" s="8"/>
      <c r="P10" s="9"/>
      <c r="R10" s="68" t="s">
        <v>56</v>
      </c>
      <c r="S10" s="69">
        <f>IF(S11=0.3,1.95,IF(S11=0.35,1.79,IF(S11=0.4,1.59,IF(S11=0.45,1.42,IF(S7=0,0,1.27)))))</f>
        <v>1.59</v>
      </c>
      <c r="T10" s="8"/>
      <c r="U10" s="9"/>
      <c r="W10" s="68" t="s">
        <v>56</v>
      </c>
      <c r="X10" s="69">
        <f>IF(X11=0.3,1.95,IF(X11=0.35,1.79,IF(X11=0.4,1.59,IF(X11=0.45,1.42,IF(X7=0,0,1.27)))))</f>
        <v>1.42</v>
      </c>
      <c r="Y10" s="8"/>
      <c r="Z10" s="9"/>
      <c r="AB10" s="68" t="s">
        <v>56</v>
      </c>
      <c r="AC10" s="69">
        <f>IF(AC11=0.3,1.95,IF(AC11=0.35,1.79,IF(AC11=0.4,1.59,IF(AC11=0.45,1.42,IF(AC7=0,0,1.27)))))</f>
        <v>1.27</v>
      </c>
      <c r="AD10" s="8"/>
      <c r="AE10" s="9"/>
    </row>
    <row r="11" spans="1:32" ht="18.75" thickBot="1">
      <c r="A11" s="169"/>
      <c r="B11" s="170" t="s">
        <v>47</v>
      </c>
      <c r="C11" s="171"/>
      <c r="D11" s="191">
        <v>0.3</v>
      </c>
      <c r="E11" s="172"/>
      <c r="F11" s="169"/>
      <c r="G11" s="173">
        <f>B13-D7/(D11*C28*C23)</f>
        <v>68.88888888888889</v>
      </c>
      <c r="H11" s="169"/>
      <c r="I11" s="191">
        <v>0.3</v>
      </c>
      <c r="J11" s="172"/>
      <c r="K11" s="169"/>
      <c r="L11" s="173">
        <f>IF(I7&gt;0,H13-I7/(I11*C28*C23),H13)</f>
        <v>65.55555555555554</v>
      </c>
      <c r="M11" s="169"/>
      <c r="N11" s="191">
        <v>0.35</v>
      </c>
      <c r="O11" s="172"/>
      <c r="P11" s="169"/>
      <c r="Q11" s="173">
        <f>IF(N7&gt;0,M13-N7/(N11*C28*C23),M13)</f>
        <v>63.80952380952379</v>
      </c>
      <c r="R11" s="169"/>
      <c r="S11" s="191">
        <v>0.4</v>
      </c>
      <c r="T11" s="172"/>
      <c r="U11" s="169"/>
      <c r="V11" s="173">
        <f>IF(S7&gt;0,R13-S7/(S11*C28*C23),R13)</f>
        <v>61.66666666666666</v>
      </c>
      <c r="W11" s="169"/>
      <c r="X11" s="191">
        <v>0.45</v>
      </c>
      <c r="Y11" s="172"/>
      <c r="Z11" s="169"/>
      <c r="AA11" s="173">
        <f>IF(X7&gt;0,W13-X7/(X11*C28*C23),W13)</f>
        <v>59.25925925925925</v>
      </c>
      <c r="AB11" s="169"/>
      <c r="AC11" s="191">
        <v>0.5</v>
      </c>
      <c r="AD11" s="172"/>
      <c r="AE11" s="169"/>
      <c r="AF11" s="173">
        <f>IF(AC7&gt;0,AB13-AC7/(AC11*C28*C23),AB13)</f>
        <v>56.666666666666664</v>
      </c>
    </row>
    <row r="12" spans="1:32" ht="15.75">
      <c r="A12" s="169"/>
      <c r="B12" s="174"/>
      <c r="C12" s="175"/>
      <c r="D12" s="176"/>
      <c r="E12" s="177"/>
      <c r="F12" s="169"/>
      <c r="G12" s="173"/>
      <c r="H12" s="169"/>
      <c r="I12" s="176"/>
      <c r="J12" s="177"/>
      <c r="K12" s="169"/>
      <c r="L12" s="173"/>
      <c r="M12" s="169"/>
      <c r="N12" s="176"/>
      <c r="O12" s="177"/>
      <c r="P12" s="169"/>
      <c r="Q12" s="173"/>
      <c r="R12" s="169"/>
      <c r="S12" s="176"/>
      <c r="T12" s="177"/>
      <c r="U12" s="169"/>
      <c r="V12" s="173"/>
      <c r="W12" s="169"/>
      <c r="X12" s="176"/>
      <c r="Y12" s="177"/>
      <c r="Z12" s="169"/>
      <c r="AA12" s="173"/>
      <c r="AB12" s="169"/>
      <c r="AC12" s="176"/>
      <c r="AD12" s="177"/>
      <c r="AE12" s="169"/>
      <c r="AF12" s="173"/>
    </row>
    <row r="13" spans="1:32" ht="15.75">
      <c r="A13" s="178" t="s">
        <v>0</v>
      </c>
      <c r="B13" s="179">
        <f>C20</f>
        <v>80</v>
      </c>
      <c r="C13" s="171"/>
      <c r="D13" s="180"/>
      <c r="E13" s="181"/>
      <c r="F13" s="182"/>
      <c r="G13" s="183" t="s">
        <v>1</v>
      </c>
      <c r="H13" s="184">
        <f>D11*G11+(1-D11)*B13</f>
        <v>76.66666666666666</v>
      </c>
      <c r="I13" s="180"/>
      <c r="J13" s="181"/>
      <c r="K13" s="182"/>
      <c r="L13" s="183" t="s">
        <v>1</v>
      </c>
      <c r="M13" s="184">
        <f>I11*L11+(1-I11)*H13</f>
        <v>73.33333333333331</v>
      </c>
      <c r="N13" s="180"/>
      <c r="O13" s="181"/>
      <c r="P13" s="182"/>
      <c r="Q13" s="171"/>
      <c r="R13" s="184">
        <f>N11*Q11+(1-N11)*M13</f>
        <v>69.99999999999999</v>
      </c>
      <c r="S13" s="180"/>
      <c r="T13" s="181"/>
      <c r="U13" s="182"/>
      <c r="V13" s="171"/>
      <c r="W13" s="184">
        <f>S11*V11+(1-S11)*R13</f>
        <v>66.66666666666666</v>
      </c>
      <c r="X13" s="180"/>
      <c r="Y13" s="181"/>
      <c r="Z13" s="182"/>
      <c r="AA13" s="171"/>
      <c r="AB13" s="184">
        <f>X11*AA11+(1-X11)*W13</f>
        <v>63.33333333333333</v>
      </c>
      <c r="AC13" s="180"/>
      <c r="AD13" s="181"/>
      <c r="AE13" s="175"/>
      <c r="AF13" s="169"/>
    </row>
    <row r="14" spans="1:32" ht="15">
      <c r="A14" s="169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71"/>
      <c r="Q14" s="171"/>
      <c r="R14" s="171"/>
      <c r="S14" s="171"/>
      <c r="T14" s="171"/>
      <c r="U14" s="202"/>
      <c r="V14" s="202"/>
      <c r="W14" s="202"/>
      <c r="X14" s="202"/>
      <c r="Y14" s="202"/>
      <c r="Z14" s="202"/>
      <c r="AA14" s="202"/>
      <c r="AB14" s="202"/>
      <c r="AC14" s="202"/>
      <c r="AD14" s="203"/>
      <c r="AE14" s="186" t="s">
        <v>1</v>
      </c>
      <c r="AF14" s="187">
        <f>AC11*AF11+(1-AC11)*AB13</f>
        <v>60</v>
      </c>
    </row>
    <row r="15" spans="1:29" ht="15.75">
      <c r="A15" s="178" t="s">
        <v>4</v>
      </c>
      <c r="B15" s="188">
        <f>C21</f>
        <v>60</v>
      </c>
      <c r="C15" s="189" t="s">
        <v>55</v>
      </c>
      <c r="D15" s="190">
        <f>IF(D7=0,0,C29*C29/D10/D10/10)</f>
        <v>1169.5805851219998</v>
      </c>
      <c r="E15" s="169"/>
      <c r="F15" s="169"/>
      <c r="G15" s="169"/>
      <c r="H15" s="189" t="s">
        <v>55</v>
      </c>
      <c r="I15" s="190">
        <f>IF(I7=0,0,C29*C29/I10/I10/10)</f>
        <v>1169.5805851219998</v>
      </c>
      <c r="J15" s="169"/>
      <c r="K15" s="169"/>
      <c r="L15" s="169"/>
      <c r="M15" s="189" t="s">
        <v>55</v>
      </c>
      <c r="N15" s="190">
        <f>IF(N7=0,0,C29*C29/N10/N10/10)</f>
        <v>1388.0122889193235</v>
      </c>
      <c r="O15" s="169"/>
      <c r="P15" s="169"/>
      <c r="Q15" s="169"/>
      <c r="R15" s="189" t="s">
        <v>55</v>
      </c>
      <c r="S15" s="190">
        <f>IF(S7=0,0,C29*C29/S10/S10/10)</f>
        <v>1759.159121445514</v>
      </c>
      <c r="T15" s="169"/>
      <c r="U15" s="169"/>
      <c r="V15" s="169"/>
      <c r="W15" s="189" t="s">
        <v>55</v>
      </c>
      <c r="X15" s="190">
        <f>IF(X7=0,0,C29*C29/X10/X10/10)</f>
        <v>2205.5793369006174</v>
      </c>
      <c r="AB15" s="189" t="s">
        <v>55</v>
      </c>
      <c r="AC15" s="190">
        <f>IF(AC7=0,0,C29*C29/AC10/AC10/10)</f>
        <v>2757.350223154817</v>
      </c>
    </row>
    <row r="16" ht="15.75" thickBot="1"/>
    <row r="17" spans="2:21" ht="15" customHeight="1">
      <c r="B17" s="2"/>
      <c r="C17" s="3"/>
      <c r="D17" s="3"/>
      <c r="E17" s="3"/>
      <c r="F17" s="3"/>
      <c r="G17" s="3"/>
      <c r="H17" s="3"/>
      <c r="I17" s="3"/>
      <c r="J17" s="3"/>
      <c r="K17" s="2"/>
      <c r="L17" s="3"/>
      <c r="M17" s="3"/>
      <c r="N17" s="3"/>
      <c r="O17" s="3"/>
      <c r="P17" s="3"/>
      <c r="Q17" s="3"/>
      <c r="R17" s="3"/>
      <c r="S17" s="3"/>
      <c r="T17" s="4"/>
      <c r="U17" s="5"/>
    </row>
    <row r="18" spans="2:21" ht="15.75">
      <c r="B18" s="24" t="s">
        <v>9</v>
      </c>
      <c r="C18" s="5"/>
      <c r="D18" s="5"/>
      <c r="E18" s="5"/>
      <c r="F18" s="5"/>
      <c r="G18" s="5"/>
      <c r="H18" s="5"/>
      <c r="I18" s="5"/>
      <c r="J18" s="5"/>
      <c r="K18" s="30"/>
      <c r="L18" s="12" t="s">
        <v>10</v>
      </c>
      <c r="M18" s="5"/>
      <c r="N18" s="5"/>
      <c r="O18" s="5"/>
      <c r="P18" s="5"/>
      <c r="Q18" s="5"/>
      <c r="R18" s="5"/>
      <c r="S18" s="5"/>
      <c r="T18" s="6"/>
      <c r="U18" s="5"/>
    </row>
    <row r="19" spans="2:21" ht="15" customHeight="1" thickBot="1">
      <c r="B19" s="7"/>
      <c r="C19" s="8"/>
      <c r="D19" s="8"/>
      <c r="E19" s="8"/>
      <c r="F19" s="8"/>
      <c r="G19" s="8"/>
      <c r="H19" s="8"/>
      <c r="I19" s="8"/>
      <c r="J19" s="8"/>
      <c r="K19" s="7"/>
      <c r="L19" s="8"/>
      <c r="M19" s="8"/>
      <c r="N19" s="8"/>
      <c r="O19" s="8"/>
      <c r="P19" s="8"/>
      <c r="Q19" s="8"/>
      <c r="R19" s="8"/>
      <c r="S19" s="8"/>
      <c r="T19" s="9"/>
      <c r="U19" s="5"/>
    </row>
    <row r="20" spans="2:21" ht="15.75">
      <c r="B20" s="34" t="s">
        <v>0</v>
      </c>
      <c r="C20" s="53">
        <v>80</v>
      </c>
      <c r="D20" s="192" t="s">
        <v>6</v>
      </c>
      <c r="E20" s="193"/>
      <c r="F20" s="193"/>
      <c r="G20" s="193"/>
      <c r="H20" s="193"/>
      <c r="I20" s="193"/>
      <c r="J20" s="193"/>
      <c r="K20" s="38"/>
      <c r="L20" s="39" t="s">
        <v>23</v>
      </c>
      <c r="M20" s="50">
        <v>16</v>
      </c>
      <c r="N20" s="13" t="s">
        <v>11</v>
      </c>
      <c r="O20" s="40" t="s">
        <v>17</v>
      </c>
      <c r="P20" s="13"/>
      <c r="Q20" s="13"/>
      <c r="R20" s="13"/>
      <c r="S20" s="13"/>
      <c r="T20" s="41"/>
      <c r="U20" s="5"/>
    </row>
    <row r="21" spans="2:21" ht="15.75">
      <c r="B21" s="25" t="s">
        <v>4</v>
      </c>
      <c r="C21" s="52">
        <v>60</v>
      </c>
      <c r="D21" s="16" t="s">
        <v>6</v>
      </c>
      <c r="E21" s="16"/>
      <c r="F21" s="16"/>
      <c r="G21" s="16"/>
      <c r="H21" s="16"/>
      <c r="I21" s="16"/>
      <c r="J21" s="16"/>
      <c r="K21" s="33"/>
      <c r="L21" s="32" t="s">
        <v>13</v>
      </c>
      <c r="M21" s="51">
        <v>40</v>
      </c>
      <c r="N21" s="16" t="s">
        <v>12</v>
      </c>
      <c r="O21" s="18" t="s">
        <v>18</v>
      </c>
      <c r="P21" s="16"/>
      <c r="Q21" s="16"/>
      <c r="R21" s="16"/>
      <c r="S21" s="16"/>
      <c r="T21" s="26"/>
      <c r="U21" s="5"/>
    </row>
    <row r="22" spans="2:21" ht="15.75">
      <c r="B22" s="27"/>
      <c r="C22" s="16"/>
      <c r="D22" s="16"/>
      <c r="E22" s="16"/>
      <c r="F22" s="16"/>
      <c r="G22" s="16"/>
      <c r="H22" s="16"/>
      <c r="I22" s="16"/>
      <c r="J22" s="16"/>
      <c r="K22" s="33"/>
      <c r="L22" s="32" t="s">
        <v>35</v>
      </c>
      <c r="M22" s="51">
        <v>10</v>
      </c>
      <c r="N22" s="37" t="s">
        <v>37</v>
      </c>
      <c r="O22" s="18" t="s">
        <v>54</v>
      </c>
      <c r="P22" s="16"/>
      <c r="Q22" s="16"/>
      <c r="R22" s="16"/>
      <c r="S22" s="16"/>
      <c r="T22" s="26"/>
      <c r="U22" s="5"/>
    </row>
    <row r="23" spans="2:21" ht="15.75">
      <c r="B23" s="28" t="s">
        <v>42</v>
      </c>
      <c r="C23" s="17">
        <f>IF(C33&gt;=90,4205,IF(C33&gt;=80,4196,IF(C33&gt;=70,4190,IF(C33&gt;=65,4184,IF(C33&gt;=60,4184,IF(C33&gt;=55,4181,IF(C33&gt;=50,4181,IF(C33&gt;=45,4178,4178))))))))</f>
        <v>4190</v>
      </c>
      <c r="D23" s="18" t="s">
        <v>5</v>
      </c>
      <c r="E23" s="18" t="s">
        <v>44</v>
      </c>
      <c r="F23" s="16"/>
      <c r="G23" s="16"/>
      <c r="H23" s="16"/>
      <c r="I23" s="16"/>
      <c r="J23" s="16"/>
      <c r="K23" s="30"/>
      <c r="L23" s="5"/>
      <c r="M23" s="5"/>
      <c r="N23" s="5"/>
      <c r="O23" s="5"/>
      <c r="P23" s="5"/>
      <c r="Q23" s="5"/>
      <c r="R23" s="5"/>
      <c r="S23" s="5"/>
      <c r="T23" s="6"/>
      <c r="U23" s="5"/>
    </row>
    <row r="24" spans="2:21" ht="18">
      <c r="B24" s="29" t="s">
        <v>41</v>
      </c>
      <c r="C24" s="19">
        <f>IF(C33&gt;=90,965.3,IF(C33&gt;=80,971.8,IF(C33&gt;=70,977.8,IF(C33&gt;=65,983.2,IF(C33&gt;=60,983.2,IF(C33&gt;=55,988,IF(C33&gt;=50,988,IF(C33&gt;=45,992.2,992.2))))))))</f>
        <v>977.8</v>
      </c>
      <c r="D24" s="18" t="s">
        <v>7</v>
      </c>
      <c r="E24" s="18" t="s">
        <v>45</v>
      </c>
      <c r="F24" s="16"/>
      <c r="G24" s="16"/>
      <c r="H24" s="16"/>
      <c r="I24" s="16"/>
      <c r="J24" s="16"/>
      <c r="K24" s="33"/>
      <c r="L24" s="32" t="s">
        <v>14</v>
      </c>
      <c r="M24" s="46">
        <f>C28*4/(C24*3.1416*M20*M20)*1000000</f>
        <v>0.29135087288510814</v>
      </c>
      <c r="N24" s="16" t="s">
        <v>15</v>
      </c>
      <c r="O24" s="18" t="s">
        <v>16</v>
      </c>
      <c r="P24" s="16"/>
      <c r="Q24" s="16"/>
      <c r="R24" s="16"/>
      <c r="S24" s="16"/>
      <c r="T24" s="26"/>
      <c r="U24" s="5"/>
    </row>
    <row r="25" spans="2:21" ht="18">
      <c r="B25" s="29" t="s">
        <v>43</v>
      </c>
      <c r="C25" s="20">
        <f>IF(C33&gt;=90,0.32,IF(C33&gt;=80,0.36,IF(C33&gt;=70,0.41,IF(C33&gt;=65,0.43,IF(C33&gt;=60,0.47,IF(C33&gt;=55,0.51,IF(C33&gt;=50,0.55,IF(C33&gt;=45,0.6,0.66))))))))</f>
        <v>0.41</v>
      </c>
      <c r="D25" s="21" t="s">
        <v>8</v>
      </c>
      <c r="E25" s="18" t="s">
        <v>46</v>
      </c>
      <c r="F25" s="16"/>
      <c r="G25" s="16"/>
      <c r="H25" s="16"/>
      <c r="I25" s="16"/>
      <c r="J25" s="16"/>
      <c r="K25" s="33"/>
      <c r="L25" s="32" t="s">
        <v>34</v>
      </c>
      <c r="M25" s="59">
        <f>M38*M38*M24*M24*1000000/(2*M20)</f>
        <v>84.98156779245355</v>
      </c>
      <c r="N25" s="16" t="s">
        <v>26</v>
      </c>
      <c r="O25" s="18" t="s">
        <v>30</v>
      </c>
      <c r="P25" s="16"/>
      <c r="Q25" s="16"/>
      <c r="R25" s="16"/>
      <c r="S25" s="16"/>
      <c r="T25" s="26"/>
      <c r="U25" s="5"/>
    </row>
    <row r="26" spans="2:21" ht="15.75">
      <c r="B26" s="10"/>
      <c r="C26" s="5"/>
      <c r="D26" s="5"/>
      <c r="E26" s="5"/>
      <c r="F26" s="5"/>
      <c r="G26" s="5"/>
      <c r="H26" s="5"/>
      <c r="I26" s="5"/>
      <c r="J26" s="5"/>
      <c r="K26" s="30"/>
      <c r="L26" s="32" t="s">
        <v>33</v>
      </c>
      <c r="M26" s="54">
        <f>M21*M25</f>
        <v>3399.262711698142</v>
      </c>
      <c r="N26" s="16" t="s">
        <v>27</v>
      </c>
      <c r="O26" s="18" t="s">
        <v>32</v>
      </c>
      <c r="P26" s="16"/>
      <c r="Q26" s="16"/>
      <c r="R26" s="5"/>
      <c r="S26" s="16"/>
      <c r="T26" s="26"/>
      <c r="U26" s="5"/>
    </row>
    <row r="27" spans="2:21" ht="15.75">
      <c r="B27" s="35" t="s">
        <v>24</v>
      </c>
      <c r="C27" s="54">
        <f>D7+I7+N7+S7+X7+AC7</f>
        <v>4800</v>
      </c>
      <c r="D27" s="16" t="s">
        <v>20</v>
      </c>
      <c r="E27" s="16"/>
      <c r="F27" s="16"/>
      <c r="G27" s="16"/>
      <c r="H27" s="16"/>
      <c r="I27" s="16"/>
      <c r="J27" s="16"/>
      <c r="K27" s="33"/>
      <c r="L27" s="14" t="s">
        <v>48</v>
      </c>
      <c r="M27" s="51">
        <v>6</v>
      </c>
      <c r="N27" s="5"/>
      <c r="O27" s="15" t="s">
        <v>38</v>
      </c>
      <c r="P27" s="5"/>
      <c r="Q27" s="5"/>
      <c r="R27" s="16"/>
      <c r="S27" s="5"/>
      <c r="T27" s="6"/>
      <c r="U27" s="5"/>
    </row>
    <row r="28" spans="2:21" ht="15.75">
      <c r="B28" s="36" t="s">
        <v>25</v>
      </c>
      <c r="C28" s="22">
        <f>C27/C23/(C20-C21)</f>
        <v>0.057279236276849645</v>
      </c>
      <c r="D28" s="16" t="s">
        <v>21</v>
      </c>
      <c r="E28" s="16"/>
      <c r="F28" s="16"/>
      <c r="G28" s="16"/>
      <c r="H28" s="16"/>
      <c r="I28" s="16"/>
      <c r="J28" s="16"/>
      <c r="K28" s="30"/>
      <c r="L28" s="32" t="s">
        <v>29</v>
      </c>
      <c r="M28" s="62">
        <f>M27*M24*M24*C24/2</f>
        <v>249.0026303394244</v>
      </c>
      <c r="N28" s="16" t="s">
        <v>27</v>
      </c>
      <c r="O28" s="18" t="s">
        <v>31</v>
      </c>
      <c r="P28" s="16"/>
      <c r="Q28" s="16"/>
      <c r="R28" s="5"/>
      <c r="S28" s="16"/>
      <c r="T28" s="26"/>
      <c r="U28" s="5"/>
    </row>
    <row r="29" spans="2:21" ht="15.75">
      <c r="B29" s="36" t="s">
        <v>25</v>
      </c>
      <c r="C29" s="23">
        <f>C28*3600*1000/C24</f>
        <v>210.88694067974916</v>
      </c>
      <c r="D29" s="16" t="s">
        <v>22</v>
      </c>
      <c r="E29" s="16"/>
      <c r="F29" s="16"/>
      <c r="G29" s="16"/>
      <c r="H29" s="16"/>
      <c r="I29" s="16"/>
      <c r="J29" s="16"/>
      <c r="K29" s="33"/>
      <c r="L29" s="32" t="s">
        <v>28</v>
      </c>
      <c r="M29" s="64">
        <f>D15+I15+N15+S15+X15+AC15</f>
        <v>10449.262140664272</v>
      </c>
      <c r="N29" s="16" t="s">
        <v>27</v>
      </c>
      <c r="O29" s="18" t="s">
        <v>39</v>
      </c>
      <c r="P29" s="16"/>
      <c r="Q29" s="16"/>
      <c r="R29" s="16"/>
      <c r="S29" s="16"/>
      <c r="T29" s="26"/>
      <c r="U29" s="5"/>
    </row>
    <row r="30" spans="2:21" ht="15">
      <c r="B30" s="30"/>
      <c r="C30" s="5"/>
      <c r="D30" s="5"/>
      <c r="E30" s="5"/>
      <c r="F30" s="5"/>
      <c r="G30" s="5"/>
      <c r="H30" s="5"/>
      <c r="I30" s="5"/>
      <c r="J30" s="5"/>
      <c r="K30" s="30"/>
      <c r="L30" s="5"/>
      <c r="M30" s="5"/>
      <c r="N30" s="5"/>
      <c r="O30" s="5"/>
      <c r="P30" s="5"/>
      <c r="Q30" s="5"/>
      <c r="R30" s="5"/>
      <c r="S30" s="5"/>
      <c r="T30" s="31"/>
      <c r="U30" s="5"/>
    </row>
    <row r="31" spans="2:21" ht="16.5" thickBot="1">
      <c r="B31" s="7"/>
      <c r="C31" s="8"/>
      <c r="D31" s="8"/>
      <c r="E31" s="8"/>
      <c r="F31" s="8"/>
      <c r="G31" s="8"/>
      <c r="H31" s="8"/>
      <c r="I31" s="8"/>
      <c r="J31" s="8"/>
      <c r="K31" s="42"/>
      <c r="L31" s="43" t="s">
        <v>49</v>
      </c>
      <c r="M31" s="58">
        <f>M26+M28+M29</f>
        <v>14097.527482701838</v>
      </c>
      <c r="N31" s="44" t="s">
        <v>27</v>
      </c>
      <c r="O31" s="45" t="s">
        <v>36</v>
      </c>
      <c r="P31" s="44"/>
      <c r="Q31" s="44"/>
      <c r="R31" s="44"/>
      <c r="S31" s="44"/>
      <c r="T31" s="9"/>
      <c r="U31" s="5"/>
    </row>
    <row r="33" spans="2:13" ht="15" hidden="1">
      <c r="B33" s="1" t="s">
        <v>19</v>
      </c>
      <c r="C33" s="60">
        <f>(C20+C21)/2</f>
        <v>70</v>
      </c>
      <c r="L33" s="1" t="s">
        <v>51</v>
      </c>
      <c r="M33" s="1">
        <f>M20*M24/C25*1000</f>
        <v>11369.790161370074</v>
      </c>
    </row>
    <row r="34" spans="12:13" ht="12.75" customHeight="1" hidden="1">
      <c r="L34" s="1" t="s">
        <v>52</v>
      </c>
      <c r="M34" s="1">
        <f>500*M20*1000/M22</f>
        <v>800000</v>
      </c>
    </row>
    <row r="35" spans="12:14" ht="15" hidden="1">
      <c r="L35" s="61" t="s">
        <v>53</v>
      </c>
      <c r="M35" s="1">
        <f>1+LOG10(M33)/LOG10(M34)</f>
        <v>1.6870558399829063</v>
      </c>
      <c r="N35" s="1">
        <f>IF(M35&gt;2,2,M35)</f>
        <v>1.6870558399829063</v>
      </c>
    </row>
    <row r="36" spans="12:13" ht="15" hidden="1">
      <c r="L36" s="61"/>
      <c r="M36" s="1">
        <f>1.312*(2-N35)*LOG10(3.7*M20*1000/M22)</f>
        <v>1.5488501747459453</v>
      </c>
    </row>
    <row r="37" spans="12:13" ht="15" hidden="1">
      <c r="L37" s="61"/>
      <c r="M37" s="1">
        <f>N35/2+M36/(LOG10(M33)-1)</f>
        <v>1.3503916795200135</v>
      </c>
    </row>
    <row r="38" spans="12:13" ht="15" hidden="1">
      <c r="L38" s="61"/>
      <c r="M38" s="1">
        <f>0.5*M37/LOG10(3.7*M20*1000/M22)</f>
        <v>0.17898681296366975</v>
      </c>
    </row>
    <row r="39" ht="15">
      <c r="L39" s="61"/>
    </row>
  </sheetData>
  <sheetProtection password="CAA5" sheet="1" objects="1" scenarios="1" selectLockedCells="1"/>
  <mergeCells count="1">
    <mergeCell ref="D20:J20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10" sqref="B10"/>
    </sheetView>
  </sheetViews>
  <sheetFormatPr defaultColWidth="9.00390625" defaultRowHeight="12.75"/>
  <cols>
    <col min="6" max="6" width="10.75390625" style="0" customWidth="1"/>
  </cols>
  <sheetData>
    <row r="1" spans="1:7" ht="12.75">
      <c r="A1" s="126" t="s">
        <v>90</v>
      </c>
      <c r="F1" s="127" t="s">
        <v>68</v>
      </c>
      <c r="G1" s="128" t="s">
        <v>69</v>
      </c>
    </row>
    <row r="2" ht="12.75">
      <c r="A2" s="126"/>
    </row>
    <row r="3" ht="12.75">
      <c r="A3" s="129" t="s">
        <v>88</v>
      </c>
    </row>
    <row r="4" ht="12.75">
      <c r="A4" s="126"/>
    </row>
    <row r="5" spans="1:7" ht="12.75">
      <c r="A5" s="130" t="s">
        <v>71</v>
      </c>
      <c r="B5" s="131">
        <v>60</v>
      </c>
      <c r="C5" t="s">
        <v>72</v>
      </c>
      <c r="F5" s="127" t="s">
        <v>73</v>
      </c>
      <c r="G5" t="s">
        <v>74</v>
      </c>
    </row>
    <row r="6" spans="1:3" ht="12.75">
      <c r="A6" s="130" t="s">
        <v>75</v>
      </c>
      <c r="B6" s="131">
        <v>40</v>
      </c>
      <c r="C6" t="s">
        <v>76</v>
      </c>
    </row>
    <row r="7" spans="1:3" ht="12.75">
      <c r="A7" s="130" t="s">
        <v>77</v>
      </c>
      <c r="B7" s="131">
        <v>20</v>
      </c>
      <c r="C7" t="s">
        <v>78</v>
      </c>
    </row>
    <row r="8" spans="1:2" ht="12.75">
      <c r="A8" s="132" t="s">
        <v>79</v>
      </c>
      <c r="B8" s="133">
        <f>(B5+B6)/2-B7</f>
        <v>30</v>
      </c>
    </row>
    <row r="9" ht="12.75">
      <c r="A9" s="126"/>
    </row>
    <row r="10" spans="1:3" ht="12.75">
      <c r="A10" s="130" t="s">
        <v>80</v>
      </c>
      <c r="B10" s="134">
        <v>3000</v>
      </c>
      <c r="C10" t="s">
        <v>81</v>
      </c>
    </row>
    <row r="11" ht="12.75">
      <c r="A11" s="130"/>
    </row>
    <row r="12" spans="1:2" ht="12.75">
      <c r="A12" s="129" t="s">
        <v>89</v>
      </c>
      <c r="B12" s="140"/>
    </row>
    <row r="13" spans="1:2" ht="12.75">
      <c r="A13" s="130"/>
      <c r="B13" s="138"/>
    </row>
    <row r="14" spans="1:3" ht="12.75">
      <c r="A14" s="130" t="s">
        <v>71</v>
      </c>
      <c r="B14" s="131">
        <v>70</v>
      </c>
      <c r="C14" t="s">
        <v>72</v>
      </c>
    </row>
    <row r="15" spans="1:3" ht="12.75">
      <c r="A15" s="130" t="s">
        <v>75</v>
      </c>
      <c r="B15" s="131">
        <v>50</v>
      </c>
      <c r="C15" t="s">
        <v>76</v>
      </c>
    </row>
    <row r="16" spans="1:3" ht="12.75">
      <c r="A16" s="130" t="s">
        <v>77</v>
      </c>
      <c r="B16" s="131">
        <v>20</v>
      </c>
      <c r="C16" t="s">
        <v>78</v>
      </c>
    </row>
    <row r="17" spans="1:2" ht="12.75">
      <c r="A17" s="132" t="s">
        <v>79</v>
      </c>
      <c r="B17" s="133">
        <f>(B14+B15)/2-B16</f>
        <v>40</v>
      </c>
    </row>
    <row r="19" spans="1:3" ht="12.75">
      <c r="A19" s="130" t="s">
        <v>80</v>
      </c>
      <c r="B19" s="134">
        <v>3740</v>
      </c>
      <c r="C19" t="s">
        <v>81</v>
      </c>
    </row>
    <row r="20" spans="1:5" ht="12.75" hidden="1">
      <c r="A20" s="141" t="s">
        <v>91</v>
      </c>
      <c r="B20" s="142">
        <f>(B5-B6)/LN((B5-B7)/(B6-B7))</f>
        <v>28.85390081777927</v>
      </c>
      <c r="C20" s="136" t="s">
        <v>86</v>
      </c>
      <c r="D20" s="136"/>
      <c r="E20" s="136"/>
    </row>
    <row r="21" spans="1:5" ht="12.75" hidden="1">
      <c r="A21" s="141" t="s">
        <v>92</v>
      </c>
      <c r="B21" s="142">
        <f>(B14-B15)/LN((B14-B16)/(B15-B16))</f>
        <v>39.15230377942435</v>
      </c>
      <c r="C21" s="136" t="s">
        <v>86</v>
      </c>
      <c r="D21" s="136"/>
      <c r="E21" s="136"/>
    </row>
    <row r="22" ht="12.75" hidden="1"/>
    <row r="24" spans="1:5" ht="12.75">
      <c r="A24" s="135" t="s">
        <v>82</v>
      </c>
      <c r="B24" s="151">
        <f>LN(B19/B10)/LN(B21/B20)</f>
        <v>0.7223563503060072</v>
      </c>
      <c r="C24" s="136" t="s">
        <v>104</v>
      </c>
      <c r="D24" s="136"/>
      <c r="E24" s="136"/>
    </row>
  </sheetData>
  <sheetProtection password="CAA5"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C31" sqref="C31"/>
    </sheetView>
  </sheetViews>
  <sheetFormatPr defaultColWidth="9.00390625" defaultRowHeight="12.75"/>
  <cols>
    <col min="6" max="6" width="10.75390625" style="0" customWidth="1"/>
  </cols>
  <sheetData>
    <row r="1" spans="1:7" ht="12.75">
      <c r="A1" s="126" t="s">
        <v>67</v>
      </c>
      <c r="F1" s="127" t="s">
        <v>68</v>
      </c>
      <c r="G1" s="128" t="s">
        <v>69</v>
      </c>
    </row>
    <row r="2" ht="12.75">
      <c r="A2" s="126"/>
    </row>
    <row r="3" ht="12.75">
      <c r="A3" s="129" t="s">
        <v>70</v>
      </c>
    </row>
    <row r="4" ht="12.75">
      <c r="A4" s="126"/>
    </row>
    <row r="5" spans="1:7" ht="12.75">
      <c r="A5" s="130" t="s">
        <v>71</v>
      </c>
      <c r="B5" s="131">
        <v>90</v>
      </c>
      <c r="C5" t="s">
        <v>72</v>
      </c>
      <c r="F5" s="127" t="s">
        <v>73</v>
      </c>
      <c r="G5" t="s">
        <v>74</v>
      </c>
    </row>
    <row r="6" spans="1:3" ht="12.75">
      <c r="A6" s="130" t="s">
        <v>75</v>
      </c>
      <c r="B6" s="131">
        <v>70</v>
      </c>
      <c r="C6" t="s">
        <v>76</v>
      </c>
    </row>
    <row r="7" spans="1:3" ht="12.75">
      <c r="A7" s="130" t="s">
        <v>77</v>
      </c>
      <c r="B7" s="131">
        <v>20</v>
      </c>
      <c r="C7" t="s">
        <v>78</v>
      </c>
    </row>
    <row r="8" spans="1:2" ht="12.75">
      <c r="A8" s="132" t="s">
        <v>79</v>
      </c>
      <c r="B8" s="133">
        <f>(B5+B6)/2-B7</f>
        <v>60</v>
      </c>
    </row>
    <row r="9" ht="12.75">
      <c r="A9" s="126"/>
    </row>
    <row r="10" spans="1:3" ht="12.75">
      <c r="A10" s="130" t="s">
        <v>80</v>
      </c>
      <c r="B10" s="134">
        <v>137.5</v>
      </c>
      <c r="C10" t="s">
        <v>81</v>
      </c>
    </row>
    <row r="11" ht="12.75">
      <c r="A11" s="130"/>
    </row>
    <row r="12" spans="1:5" ht="12.75">
      <c r="A12" s="135" t="s">
        <v>82</v>
      </c>
      <c r="B12" s="145">
        <v>1.277</v>
      </c>
      <c r="C12" s="136" t="s">
        <v>104</v>
      </c>
      <c r="D12" s="136"/>
      <c r="E12" s="136"/>
    </row>
    <row r="13" spans="1:5" ht="12.75" hidden="1">
      <c r="A13" s="135" t="s">
        <v>83</v>
      </c>
      <c r="B13" s="137">
        <f>(B5-B6)/LN((B5-B7)/(B6-B7))</f>
        <v>59.44026823976924</v>
      </c>
      <c r="C13" s="136"/>
      <c r="D13" s="136"/>
      <c r="E13" s="136"/>
    </row>
    <row r="14" spans="1:2" ht="12.75">
      <c r="A14" s="130"/>
      <c r="B14" s="138"/>
    </row>
    <row r="15" spans="1:2" ht="12.75">
      <c r="A15" s="130"/>
      <c r="B15" s="138"/>
    </row>
    <row r="16" spans="1:2" ht="12.75">
      <c r="A16" s="139" t="s">
        <v>84</v>
      </c>
      <c r="B16" s="140"/>
    </row>
    <row r="17" spans="1:2" ht="12.75">
      <c r="A17" s="130"/>
      <c r="B17" s="138"/>
    </row>
    <row r="18" spans="1:3" ht="12.75">
      <c r="A18" s="130" t="s">
        <v>71</v>
      </c>
      <c r="B18" s="131">
        <v>80</v>
      </c>
      <c r="C18" t="s">
        <v>72</v>
      </c>
    </row>
    <row r="19" spans="1:3" ht="12.75">
      <c r="A19" s="130" t="s">
        <v>75</v>
      </c>
      <c r="B19" s="131">
        <v>60</v>
      </c>
      <c r="C19" t="s">
        <v>76</v>
      </c>
    </row>
    <row r="20" spans="1:3" ht="12.75">
      <c r="A20" s="130" t="s">
        <v>77</v>
      </c>
      <c r="B20" s="131">
        <v>20</v>
      </c>
      <c r="C20" t="s">
        <v>78</v>
      </c>
    </row>
    <row r="21" spans="1:2" ht="12.75">
      <c r="A21" s="132" t="s">
        <v>79</v>
      </c>
      <c r="B21" s="133">
        <f>(B18+B19)/2-B20</f>
        <v>50</v>
      </c>
    </row>
    <row r="24" spans="1:5" ht="12.75" hidden="1">
      <c r="A24" s="141" t="s">
        <v>85</v>
      </c>
      <c r="B24" s="142">
        <f>POWER(((B18-B19)/LN((B18-B20)/(B19-B20)))/B13,B12)</f>
        <v>0.78805688877554</v>
      </c>
      <c r="C24" s="136" t="s">
        <v>86</v>
      </c>
      <c r="D24" s="136"/>
      <c r="E24" s="136"/>
    </row>
    <row r="25" spans="1:5" ht="12.75" hidden="1">
      <c r="A25" s="136"/>
      <c r="B25" s="136"/>
      <c r="C25" s="136"/>
      <c r="D25" s="136"/>
      <c r="E25" s="136"/>
    </row>
    <row r="26" spans="1:5" ht="12.75">
      <c r="A26" s="141" t="s">
        <v>87</v>
      </c>
      <c r="B26" s="168">
        <f>B10*B24</f>
        <v>108.35782220663675</v>
      </c>
      <c r="C26" s="144" t="s">
        <v>20</v>
      </c>
      <c r="D26" s="136"/>
      <c r="E26" s="136"/>
    </row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C6" sqref="C6"/>
    </sheetView>
  </sheetViews>
  <sheetFormatPr defaultColWidth="9.00390625" defaultRowHeight="12.75"/>
  <cols>
    <col min="3" max="3" width="11.3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75" t="s">
        <v>61</v>
      </c>
      <c r="C3" s="1"/>
      <c r="D3" s="1"/>
      <c r="E3" s="1"/>
      <c r="F3" s="1"/>
      <c r="G3" s="1"/>
      <c r="H3" s="1"/>
      <c r="I3" s="1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61" t="s">
        <v>59</v>
      </c>
      <c r="C5" s="76">
        <v>32.8</v>
      </c>
      <c r="D5" s="1" t="s">
        <v>11</v>
      </c>
      <c r="E5" s="1"/>
      <c r="F5" s="1"/>
      <c r="G5" s="1"/>
      <c r="H5" s="1"/>
      <c r="I5" s="1"/>
    </row>
    <row r="6" spans="1:9" ht="18">
      <c r="A6" s="1"/>
      <c r="B6" s="74" t="s">
        <v>60</v>
      </c>
      <c r="C6" s="76">
        <v>977.8</v>
      </c>
      <c r="D6" s="1" t="s">
        <v>7</v>
      </c>
      <c r="E6" s="1"/>
      <c r="F6" s="1"/>
      <c r="G6" s="1"/>
      <c r="H6" s="1"/>
      <c r="I6" s="1"/>
    </row>
    <row r="7" spans="1:9" ht="15">
      <c r="A7" s="1"/>
      <c r="B7" s="61" t="s">
        <v>56</v>
      </c>
      <c r="C7" s="76">
        <v>9.92</v>
      </c>
      <c r="E7" s="1"/>
      <c r="F7" s="1"/>
      <c r="G7" s="1"/>
      <c r="H7" s="1"/>
      <c r="I7" s="1"/>
    </row>
    <row r="8" spans="1:9" ht="15">
      <c r="A8" s="1"/>
      <c r="D8" s="1"/>
      <c r="E8" s="1"/>
      <c r="F8" s="1"/>
      <c r="G8" s="1"/>
      <c r="H8" s="1"/>
      <c r="I8" s="1"/>
    </row>
    <row r="9" spans="1:9" ht="15.75">
      <c r="A9" s="1"/>
      <c r="B9" s="73" t="s">
        <v>58</v>
      </c>
      <c r="C9" s="77">
        <f>2*3.14*3.14/4/4*C5*C5*C5*C5*3600*3600/C7/C7/C6/10000000</f>
        <v>19.213049793691326</v>
      </c>
      <c r="D9" s="1"/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</sheetData>
  <sheetProtection password="CAA5"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zoomScalePageLayoutView="0" workbookViewId="0" topLeftCell="A1">
      <selection activeCell="C43" sqref="C43"/>
    </sheetView>
  </sheetViews>
  <sheetFormatPr defaultColWidth="9.00390625" defaultRowHeight="12.75"/>
  <cols>
    <col min="4" max="4" width="8.75390625" style="0" customWidth="1"/>
    <col min="5" max="5" width="9.625" style="0" bestFit="1" customWidth="1"/>
  </cols>
  <sheetData>
    <row r="1" spans="1:9" ht="13.5" thickBot="1">
      <c r="A1" s="78"/>
      <c r="B1" s="113" t="s">
        <v>66</v>
      </c>
      <c r="C1" s="78"/>
      <c r="D1" s="78"/>
      <c r="E1" s="78"/>
      <c r="F1" s="78"/>
      <c r="G1" s="78"/>
      <c r="H1" s="78"/>
      <c r="I1" s="78"/>
    </row>
    <row r="2" spans="1:9" ht="16.5" thickBot="1">
      <c r="A2" s="79"/>
      <c r="B2" s="80" t="s">
        <v>0</v>
      </c>
      <c r="C2" s="110">
        <v>80</v>
      </c>
      <c r="D2" s="194" t="s">
        <v>6</v>
      </c>
      <c r="E2" s="194"/>
      <c r="F2" s="194"/>
      <c r="G2" s="194"/>
      <c r="H2" s="194"/>
      <c r="I2" s="195"/>
    </row>
    <row r="3" spans="1:9" ht="15.75">
      <c r="A3" s="79"/>
      <c r="B3" s="81" t="s">
        <v>4</v>
      </c>
      <c r="C3" s="109">
        <v>60</v>
      </c>
      <c r="D3" s="82" t="s">
        <v>6</v>
      </c>
      <c r="E3" s="82"/>
      <c r="F3" s="82"/>
      <c r="G3" s="82"/>
      <c r="H3" s="82"/>
      <c r="I3" s="83"/>
    </row>
    <row r="4" spans="1:9" ht="15">
      <c r="A4" s="79"/>
      <c r="B4" s="84"/>
      <c r="C4" s="82"/>
      <c r="D4" s="82"/>
      <c r="E4" s="82"/>
      <c r="F4" s="82"/>
      <c r="G4" s="82"/>
      <c r="H4" s="82"/>
      <c r="I4" s="83"/>
    </row>
    <row r="5" spans="1:9" ht="15.75">
      <c r="A5" s="79"/>
      <c r="B5" s="85" t="s">
        <v>42</v>
      </c>
      <c r="C5" s="86">
        <f>IF(C47&gt;=90,4205,IF(C47&gt;=80,4196,IF(C47&gt;=70,4190,IF(C47&gt;=65,4184,IF(C47&gt;=60,4184,IF(C47&gt;=55,4181,IF(C47&gt;=50,4181,IF(C47&gt;=45,4178,4178))))))))</f>
        <v>4190</v>
      </c>
      <c r="D5" s="87" t="s">
        <v>5</v>
      </c>
      <c r="E5" s="87" t="s">
        <v>44</v>
      </c>
      <c r="F5" s="82"/>
      <c r="G5" s="82"/>
      <c r="H5" s="82"/>
      <c r="I5" s="83"/>
    </row>
    <row r="6" spans="1:9" ht="18">
      <c r="A6" s="79"/>
      <c r="B6" s="88" t="s">
        <v>41</v>
      </c>
      <c r="C6" s="89">
        <f>IF(C47&gt;=90,965.3,IF(C47&gt;=80,971.8,IF(C47&gt;=70,977.8,IF(C47&gt;=65,983.2,IF(C47&gt;=60,983.2,IF(C47&gt;=55,988,IF(C47&gt;=50,988,IF(C47&gt;=45,992.2,992.2))))))))</f>
        <v>977.8</v>
      </c>
      <c r="D6" s="87" t="s">
        <v>7</v>
      </c>
      <c r="E6" s="87" t="s">
        <v>45</v>
      </c>
      <c r="F6" s="82"/>
      <c r="G6" s="82"/>
      <c r="H6" s="82"/>
      <c r="I6" s="83"/>
    </row>
    <row r="7" spans="1:9" ht="18">
      <c r="A7" s="79"/>
      <c r="B7" s="88" t="s">
        <v>43</v>
      </c>
      <c r="C7" s="90">
        <f>IF(C47&gt;=90,0.32,IF(C47&gt;=80,0.36,IF(C47&gt;=70,0.41,IF(C47&gt;=65,0.43,IF(C47&gt;=60,0.47,IF(C47&gt;=55,0.51,IF(C47&gt;=50,0.55,IF(C47&gt;=45,0.6,0.66))))))))</f>
        <v>0.41</v>
      </c>
      <c r="D7" s="91" t="s">
        <v>8</v>
      </c>
      <c r="E7" s="87" t="s">
        <v>46</v>
      </c>
      <c r="F7" s="82"/>
      <c r="G7" s="82"/>
      <c r="H7" s="82"/>
      <c r="I7" s="83"/>
    </row>
    <row r="8" spans="1:9" ht="15.75" thickBot="1">
      <c r="A8" s="79"/>
      <c r="B8" s="92"/>
      <c r="C8" s="93"/>
      <c r="D8" s="93"/>
      <c r="E8" s="93"/>
      <c r="F8" s="93"/>
      <c r="G8" s="93"/>
      <c r="H8" s="93"/>
      <c r="I8" s="94"/>
    </row>
    <row r="9" spans="1:9" ht="15">
      <c r="A9" s="79"/>
      <c r="B9" s="95"/>
      <c r="C9" s="96"/>
      <c r="D9" s="96"/>
      <c r="E9" s="96"/>
      <c r="F9" s="96"/>
      <c r="G9" s="96"/>
      <c r="H9" s="96"/>
      <c r="I9" s="96"/>
    </row>
    <row r="10" spans="1:9" ht="15.75" thickBot="1">
      <c r="A10" s="79"/>
      <c r="B10" s="113" t="s">
        <v>63</v>
      </c>
      <c r="C10" s="96"/>
      <c r="D10" s="96"/>
      <c r="E10" s="96"/>
      <c r="F10" s="96"/>
      <c r="G10" s="96"/>
      <c r="H10" s="96"/>
      <c r="I10" s="96"/>
    </row>
    <row r="11" spans="1:9" ht="15.75" thickBot="1">
      <c r="A11" s="79"/>
      <c r="B11" s="196" t="s">
        <v>65</v>
      </c>
      <c r="C11" s="197"/>
      <c r="D11" s="198" t="s">
        <v>64</v>
      </c>
      <c r="E11" s="199"/>
      <c r="F11" s="199"/>
      <c r="G11" s="199"/>
      <c r="H11" s="199"/>
      <c r="I11" s="200"/>
    </row>
    <row r="12" spans="1:9" ht="16.5" thickBot="1">
      <c r="A12" s="79"/>
      <c r="B12" s="97" t="s">
        <v>62</v>
      </c>
      <c r="C12" s="98" t="s">
        <v>22</v>
      </c>
      <c r="D12" s="99">
        <v>1</v>
      </c>
      <c r="E12" s="100">
        <v>2</v>
      </c>
      <c r="F12" s="100">
        <v>3</v>
      </c>
      <c r="G12" s="100">
        <v>4</v>
      </c>
      <c r="H12" s="100">
        <v>5</v>
      </c>
      <c r="I12" s="101">
        <v>6</v>
      </c>
    </row>
    <row r="13" spans="1:9" ht="15.75">
      <c r="A13" s="79"/>
      <c r="B13" s="102">
        <v>200</v>
      </c>
      <c r="C13" s="103">
        <f>B13*3600*1000/(C5*(C2-C3)*C6)</f>
        <v>8.786955861656214</v>
      </c>
      <c r="D13" s="114">
        <f>C13*C13/(0.047*0.047*10)</f>
        <v>3495.2735769440696</v>
      </c>
      <c r="E13" s="114">
        <f>C13*C13/(0.126*0.126*10)</f>
        <v>486.3353068448884</v>
      </c>
      <c r="F13" s="104">
        <f>C13*C13/(0.269*0.269*10)</f>
        <v>106.70194347050825</v>
      </c>
      <c r="G13" s="104">
        <f>C13*C13/(0.417*0.417*10)</f>
        <v>44.40222976421424</v>
      </c>
      <c r="H13" s="104">
        <f>C13*C13/(0.6*0.6*10)</f>
        <v>21.447387031859584</v>
      </c>
      <c r="I13" s="111">
        <f>C13*C13/(0.7*0.7*10)</f>
        <v>15.757263941774388</v>
      </c>
    </row>
    <row r="14" spans="1:9" ht="15.75">
      <c r="A14" s="79"/>
      <c r="B14" s="105">
        <v>300</v>
      </c>
      <c r="C14" s="106">
        <f>B14*3600*1000/(C5*(C2-C3)*C6)</f>
        <v>13.18043379248432</v>
      </c>
      <c r="D14" s="114">
        <f aca="true" t="shared" si="0" ref="D14:D41">C14*C14/(0.047*0.047*10)</f>
        <v>7864.365548124157</v>
      </c>
      <c r="E14" s="114">
        <f aca="true" t="shared" si="1" ref="E14:E41">C14*C14/(0.126*0.126*10)</f>
        <v>1094.2544404009989</v>
      </c>
      <c r="F14" s="104">
        <f aca="true" t="shared" si="2" ref="F14:F43">C14*C14/(0.269*0.269*10)</f>
        <v>240.0793728086436</v>
      </c>
      <c r="G14" s="104">
        <f aca="true" t="shared" si="3" ref="G14:G43">C14*C14/(0.417*0.417*10)</f>
        <v>99.90501696948205</v>
      </c>
      <c r="H14" s="104">
        <f aca="true" t="shared" si="4" ref="H14:H43">C14*C14/(0.6*0.6*10)</f>
        <v>48.256620821684066</v>
      </c>
      <c r="I14" s="111">
        <f aca="true" t="shared" si="5" ref="I14:I43">C14*C14/(0.7*0.7*10)</f>
        <v>35.45384386899237</v>
      </c>
    </row>
    <row r="15" spans="1:9" ht="15.75">
      <c r="A15" s="79"/>
      <c r="B15" s="105">
        <v>400</v>
      </c>
      <c r="C15" s="106">
        <f>B15*3600*1000/(C5*(C2-C3)*C6)</f>
        <v>17.573911723312428</v>
      </c>
      <c r="D15" s="114">
        <f t="shared" si="0"/>
        <v>13981.094307776279</v>
      </c>
      <c r="E15" s="114">
        <f t="shared" si="1"/>
        <v>1945.3412273795536</v>
      </c>
      <c r="F15" s="104">
        <f t="shared" si="2"/>
        <v>426.807773882033</v>
      </c>
      <c r="G15" s="104">
        <f t="shared" si="3"/>
        <v>177.60891905685696</v>
      </c>
      <c r="H15" s="104">
        <f t="shared" si="4"/>
        <v>85.78954812743834</v>
      </c>
      <c r="I15" s="111">
        <f t="shared" si="5"/>
        <v>63.02905576709755</v>
      </c>
    </row>
    <row r="16" spans="1:9" ht="15.75">
      <c r="A16" s="79"/>
      <c r="B16" s="105">
        <v>500</v>
      </c>
      <c r="C16" s="106">
        <f>B16*3600*1000/(C5*(C2-C3)*C6)</f>
        <v>21.967389654140536</v>
      </c>
      <c r="D16" s="157">
        <f t="shared" si="0"/>
        <v>21845.45985590044</v>
      </c>
      <c r="E16" s="114">
        <f t="shared" si="1"/>
        <v>3039.5956677805534</v>
      </c>
      <c r="F16" s="104">
        <f t="shared" si="2"/>
        <v>666.8871466906768</v>
      </c>
      <c r="G16" s="104">
        <f t="shared" si="3"/>
        <v>277.513936026339</v>
      </c>
      <c r="H16" s="104">
        <f t="shared" si="4"/>
        <v>134.04616894912243</v>
      </c>
      <c r="I16" s="111">
        <f t="shared" si="5"/>
        <v>98.48289963608994</v>
      </c>
    </row>
    <row r="17" spans="1:9" ht="15.75">
      <c r="A17" s="79"/>
      <c r="B17" s="105">
        <v>600</v>
      </c>
      <c r="C17" s="106">
        <f>B17*3600*1000/(C5*(C2-C3)*C6)</f>
        <v>26.36086758496864</v>
      </c>
      <c r="D17" s="157">
        <f t="shared" si="0"/>
        <v>31457.462192496627</v>
      </c>
      <c r="E17" s="114">
        <f t="shared" si="1"/>
        <v>4377.0177616039955</v>
      </c>
      <c r="F17" s="104">
        <f t="shared" si="2"/>
        <v>960.3174912345744</v>
      </c>
      <c r="G17" s="104">
        <f t="shared" si="3"/>
        <v>399.6200678779282</v>
      </c>
      <c r="H17" s="104">
        <f t="shared" si="4"/>
        <v>193.02648328673627</v>
      </c>
      <c r="I17" s="111">
        <f t="shared" si="5"/>
        <v>141.8153754759695</v>
      </c>
    </row>
    <row r="18" spans="1:9" ht="15.75">
      <c r="A18" s="79"/>
      <c r="B18" s="105">
        <v>700</v>
      </c>
      <c r="C18" s="106">
        <f>B18*3600*1000/(C5*(C2-C3)*C6)</f>
        <v>30.75434551579675</v>
      </c>
      <c r="D18" s="104">
        <f t="shared" si="0"/>
        <v>42817.10131756486</v>
      </c>
      <c r="E18" s="114">
        <f t="shared" si="1"/>
        <v>5957.607508849885</v>
      </c>
      <c r="F18" s="104">
        <f t="shared" si="2"/>
        <v>1307.0988075137263</v>
      </c>
      <c r="G18" s="104">
        <f t="shared" si="3"/>
        <v>543.9273146116245</v>
      </c>
      <c r="H18" s="104">
        <f t="shared" si="4"/>
        <v>262.7304911402799</v>
      </c>
      <c r="I18" s="111">
        <f t="shared" si="5"/>
        <v>193.0264832867363</v>
      </c>
    </row>
    <row r="19" spans="1:9" ht="15.75">
      <c r="A19" s="79"/>
      <c r="B19" s="105">
        <v>800</v>
      </c>
      <c r="C19" s="106">
        <f>B19*3600*1000/(C5*(C2-C3)*C6)</f>
        <v>35.147823446624855</v>
      </c>
      <c r="D19" s="104">
        <f t="shared" si="0"/>
        <v>55924.377231105114</v>
      </c>
      <c r="E19" s="114">
        <f t="shared" si="1"/>
        <v>7781.3649095182145</v>
      </c>
      <c r="F19" s="114">
        <f t="shared" si="2"/>
        <v>1707.231095528132</v>
      </c>
      <c r="G19" s="104">
        <f t="shared" si="3"/>
        <v>710.4356762274278</v>
      </c>
      <c r="H19" s="104">
        <f t="shared" si="4"/>
        <v>343.15819250975335</v>
      </c>
      <c r="I19" s="111">
        <f t="shared" si="5"/>
        <v>252.1162230683902</v>
      </c>
    </row>
    <row r="20" spans="1:9" ht="15.75">
      <c r="A20" s="79"/>
      <c r="B20" s="105">
        <v>900</v>
      </c>
      <c r="C20" s="106">
        <f>B20*3600*1000/(C5*(C2-C3)*C6)</f>
        <v>39.54130137745297</v>
      </c>
      <c r="D20" s="104">
        <f t="shared" si="0"/>
        <v>70779.28993311743</v>
      </c>
      <c r="E20" s="114">
        <f t="shared" si="1"/>
        <v>9848.289963608993</v>
      </c>
      <c r="F20" s="114">
        <f t="shared" si="2"/>
        <v>2160.714355277793</v>
      </c>
      <c r="G20" s="104">
        <f t="shared" si="3"/>
        <v>899.1451527253386</v>
      </c>
      <c r="H20" s="104">
        <f t="shared" si="4"/>
        <v>434.30958739515665</v>
      </c>
      <c r="I20" s="111">
        <f t="shared" si="5"/>
        <v>319.08459482093144</v>
      </c>
    </row>
    <row r="21" spans="1:9" ht="15.75">
      <c r="A21" s="79"/>
      <c r="B21" s="105">
        <v>1000</v>
      </c>
      <c r="C21" s="106">
        <f>B21*3600*1000/(C5*(C2-C3)*C6)</f>
        <v>43.93477930828107</v>
      </c>
      <c r="D21" s="104">
        <f t="shared" si="0"/>
        <v>87381.83942360176</v>
      </c>
      <c r="E21" s="114">
        <f t="shared" si="1"/>
        <v>12158.382671122214</v>
      </c>
      <c r="F21" s="114">
        <f t="shared" si="2"/>
        <v>2667.548586762707</v>
      </c>
      <c r="G21" s="114">
        <f t="shared" si="3"/>
        <v>1110.055744105356</v>
      </c>
      <c r="H21" s="104">
        <f t="shared" si="4"/>
        <v>536.1846757964897</v>
      </c>
      <c r="I21" s="111">
        <f t="shared" si="5"/>
        <v>393.93159854435976</v>
      </c>
    </row>
    <row r="22" spans="1:9" ht="15.75">
      <c r="A22" s="79"/>
      <c r="B22" s="105">
        <v>1100</v>
      </c>
      <c r="C22" s="106">
        <f>B22*3600*1000/(C5*(C2-C3)*C6)</f>
        <v>48.32825723910918</v>
      </c>
      <c r="D22" s="104">
        <f t="shared" si="0"/>
        <v>105732.02570255812</v>
      </c>
      <c r="E22" s="157">
        <f t="shared" si="1"/>
        <v>14711.643032057877</v>
      </c>
      <c r="F22" s="114">
        <f t="shared" si="2"/>
        <v>3227.7337899828754</v>
      </c>
      <c r="G22" s="114">
        <f t="shared" si="3"/>
        <v>1343.167450367481</v>
      </c>
      <c r="H22" s="104">
        <f t="shared" si="4"/>
        <v>648.7834577137525</v>
      </c>
      <c r="I22" s="111">
        <f t="shared" si="5"/>
        <v>476.6572342386753</v>
      </c>
    </row>
    <row r="23" spans="1:9" ht="15.75">
      <c r="A23" s="79"/>
      <c r="B23" s="105">
        <v>1200</v>
      </c>
      <c r="C23" s="106">
        <f>B23*3600*1000/(C5*(C2-C3)*C6)</f>
        <v>52.72173516993728</v>
      </c>
      <c r="D23" s="104">
        <f t="shared" si="0"/>
        <v>125829.8487699865</v>
      </c>
      <c r="E23" s="157">
        <f t="shared" si="1"/>
        <v>17508.071046415982</v>
      </c>
      <c r="F23" s="114">
        <f t="shared" si="2"/>
        <v>3841.2699649382976</v>
      </c>
      <c r="G23" s="114">
        <f t="shared" si="3"/>
        <v>1598.4802715117128</v>
      </c>
      <c r="H23" s="104">
        <f t="shared" si="4"/>
        <v>772.1059331469451</v>
      </c>
      <c r="I23" s="111">
        <f t="shared" si="5"/>
        <v>567.261501903878</v>
      </c>
    </row>
    <row r="24" spans="1:9" ht="15.75">
      <c r="A24" s="79"/>
      <c r="B24" s="105">
        <v>1300</v>
      </c>
      <c r="C24" s="106">
        <f>B24*3600*1000/(C5*(C2-C3)*C6)</f>
        <v>57.115213100765395</v>
      </c>
      <c r="D24" s="104">
        <f t="shared" si="0"/>
        <v>147675.30862588697</v>
      </c>
      <c r="E24" s="157">
        <f t="shared" si="1"/>
        <v>20547.666714196537</v>
      </c>
      <c r="F24" s="114">
        <f t="shared" si="2"/>
        <v>4508.157111628975</v>
      </c>
      <c r="G24" s="114">
        <f t="shared" si="3"/>
        <v>1875.994207538052</v>
      </c>
      <c r="H24" s="104">
        <f t="shared" si="4"/>
        <v>906.1521020960676</v>
      </c>
      <c r="I24" s="111">
        <f t="shared" si="5"/>
        <v>665.744401539968</v>
      </c>
    </row>
    <row r="25" spans="1:9" ht="15.75">
      <c r="A25" s="79"/>
      <c r="B25" s="105">
        <v>1400</v>
      </c>
      <c r="C25" s="106">
        <f>B25*3600*1000/(C5*(C2-C3)*C6)</f>
        <v>61.5086910315935</v>
      </c>
      <c r="D25" s="104">
        <f t="shared" si="0"/>
        <v>171268.40527025945</v>
      </c>
      <c r="E25" s="157">
        <f t="shared" si="1"/>
        <v>23830.43003539954</v>
      </c>
      <c r="F25" s="114">
        <f t="shared" si="2"/>
        <v>5228.395230054905</v>
      </c>
      <c r="G25" s="114">
        <f t="shared" si="3"/>
        <v>2175.709258446498</v>
      </c>
      <c r="H25" s="104">
        <f t="shared" si="4"/>
        <v>1050.9219645611197</v>
      </c>
      <c r="I25" s="111">
        <f t="shared" si="5"/>
        <v>772.1059331469452</v>
      </c>
    </row>
    <row r="26" spans="1:9" ht="15.75">
      <c r="A26" s="79"/>
      <c r="B26" s="105">
        <v>1500</v>
      </c>
      <c r="C26" s="106">
        <f>B26*3600*1000/(C5*(C2-C3)*C6)</f>
        <v>65.90216896242161</v>
      </c>
      <c r="D26" s="104">
        <f t="shared" si="0"/>
        <v>196609.13870310396</v>
      </c>
      <c r="E26" s="157">
        <f t="shared" si="1"/>
        <v>27356.361010024983</v>
      </c>
      <c r="F26" s="114">
        <f t="shared" si="2"/>
        <v>6001.984320216091</v>
      </c>
      <c r="G26" s="114">
        <f t="shared" si="3"/>
        <v>2497.6254242370514</v>
      </c>
      <c r="H26" s="104">
        <f t="shared" si="4"/>
        <v>1206.4155205421018</v>
      </c>
      <c r="I26" s="111">
        <f t="shared" si="5"/>
        <v>886.3460967248095</v>
      </c>
    </row>
    <row r="27" spans="1:9" ht="15.75">
      <c r="A27" s="79"/>
      <c r="B27" s="105">
        <v>1600</v>
      </c>
      <c r="C27" s="106">
        <f>B27*3600*1000/(C5*(C2-C3)*C6)</f>
        <v>70.29564689324971</v>
      </c>
      <c r="D27" s="104">
        <f t="shared" si="0"/>
        <v>223697.50892442046</v>
      </c>
      <c r="E27" s="157">
        <f t="shared" si="1"/>
        <v>31125.459638072858</v>
      </c>
      <c r="F27" s="114">
        <f t="shared" si="2"/>
        <v>6828.924382112528</v>
      </c>
      <c r="G27" s="114">
        <f t="shared" si="3"/>
        <v>2841.7427049097114</v>
      </c>
      <c r="H27" s="104">
        <f t="shared" si="4"/>
        <v>1372.6327700390134</v>
      </c>
      <c r="I27" s="111">
        <f t="shared" si="5"/>
        <v>1008.4648922735608</v>
      </c>
    </row>
    <row r="28" spans="1:9" ht="15.75">
      <c r="A28" s="78"/>
      <c r="B28" s="105">
        <v>1700</v>
      </c>
      <c r="C28" s="106">
        <f>B28*3600*1000/(C5*(C2-C3)*C6)</f>
        <v>74.68912482407782</v>
      </c>
      <c r="D28" s="104">
        <f t="shared" si="0"/>
        <v>252533.51593420908</v>
      </c>
      <c r="E28" s="104">
        <f t="shared" si="1"/>
        <v>35137.7259195432</v>
      </c>
      <c r="F28" s="114">
        <f t="shared" si="2"/>
        <v>7709.215415744224</v>
      </c>
      <c r="G28" s="114">
        <f t="shared" si="3"/>
        <v>3208.0611004644798</v>
      </c>
      <c r="H28" s="104">
        <f t="shared" si="4"/>
        <v>1549.5737130518553</v>
      </c>
      <c r="I28" s="111">
        <f t="shared" si="5"/>
        <v>1138.4623197931999</v>
      </c>
    </row>
    <row r="29" spans="1:9" ht="15.75">
      <c r="A29" s="78"/>
      <c r="B29" s="105">
        <v>1800</v>
      </c>
      <c r="C29" s="106">
        <f>B29*3600*1000/(C5*(C2-C3)*C6)</f>
        <v>79.08260275490593</v>
      </c>
      <c r="D29" s="104">
        <f t="shared" si="0"/>
        <v>283117.1597324697</v>
      </c>
      <c r="E29" s="104">
        <f t="shared" si="1"/>
        <v>39393.15985443597</v>
      </c>
      <c r="F29" s="114">
        <f t="shared" si="2"/>
        <v>8642.857421111172</v>
      </c>
      <c r="G29" s="114">
        <f t="shared" si="3"/>
        <v>3596.5806109013542</v>
      </c>
      <c r="H29" s="114">
        <f t="shared" si="4"/>
        <v>1737.2383495806266</v>
      </c>
      <c r="I29" s="111">
        <f t="shared" si="5"/>
        <v>1276.3383792837258</v>
      </c>
    </row>
    <row r="30" spans="1:9" ht="15.75">
      <c r="A30" s="78"/>
      <c r="B30" s="105">
        <v>1900</v>
      </c>
      <c r="C30" s="106">
        <f>B30*3600*1000/(C5*(C2-C3)*C6)</f>
        <v>83.47608068573403</v>
      </c>
      <c r="D30" s="104">
        <f t="shared" si="0"/>
        <v>315448.4403192023</v>
      </c>
      <c r="E30" s="104">
        <f t="shared" si="1"/>
        <v>43891.76144275119</v>
      </c>
      <c r="F30" s="114">
        <f t="shared" si="2"/>
        <v>9629.850398213372</v>
      </c>
      <c r="G30" s="114">
        <f t="shared" si="3"/>
        <v>4007.301236220336</v>
      </c>
      <c r="H30" s="114">
        <f t="shared" si="4"/>
        <v>1935.6266796253276</v>
      </c>
      <c r="I30" s="111">
        <f t="shared" si="5"/>
        <v>1422.0930707451387</v>
      </c>
    </row>
    <row r="31" spans="1:9" ht="15.75">
      <c r="A31" s="78"/>
      <c r="B31" s="105">
        <v>2000</v>
      </c>
      <c r="C31" s="106">
        <f>B31*3600*1000/(C5*(C2-C3)*C6)</f>
        <v>87.86955861656214</v>
      </c>
      <c r="D31" s="104">
        <f t="shared" si="0"/>
        <v>349527.35769440705</v>
      </c>
      <c r="E31" s="104">
        <f t="shared" si="1"/>
        <v>48633.530684488855</v>
      </c>
      <c r="F31" s="114">
        <f t="shared" si="2"/>
        <v>10670.194347050829</v>
      </c>
      <c r="G31" s="114">
        <f t="shared" si="3"/>
        <v>4440.222976421424</v>
      </c>
      <c r="H31" s="114">
        <f t="shared" si="4"/>
        <v>2144.738703185959</v>
      </c>
      <c r="I31" s="116">
        <f t="shared" si="5"/>
        <v>1575.726394177439</v>
      </c>
    </row>
    <row r="32" spans="1:9" ht="15.75">
      <c r="A32" s="78"/>
      <c r="B32" s="105">
        <v>2100</v>
      </c>
      <c r="C32" s="106">
        <f>B32*3600*1000/(C5*(C2-C3)*C6)</f>
        <v>92.26303654739024</v>
      </c>
      <c r="D32" s="104">
        <f t="shared" si="0"/>
        <v>385353.9118580836</v>
      </c>
      <c r="E32" s="104">
        <f t="shared" si="1"/>
        <v>53618.46757964895</v>
      </c>
      <c r="F32" s="114">
        <f t="shared" si="2"/>
        <v>11763.889267623535</v>
      </c>
      <c r="G32" s="114">
        <f t="shared" si="3"/>
        <v>4895.345831504619</v>
      </c>
      <c r="H32" s="114">
        <f t="shared" si="4"/>
        <v>2364.5744202625187</v>
      </c>
      <c r="I32" s="116">
        <f t="shared" si="5"/>
        <v>1737.2383495806262</v>
      </c>
    </row>
    <row r="33" spans="1:9" ht="15.75">
      <c r="A33" s="78"/>
      <c r="B33" s="105">
        <v>2200</v>
      </c>
      <c r="C33" s="106">
        <f>B33*3600*1000/(C5*(C2-C3)*C6)</f>
        <v>96.65651447821836</v>
      </c>
      <c r="D33" s="104">
        <f t="shared" si="0"/>
        <v>422928.1028102325</v>
      </c>
      <c r="E33" s="104">
        <f t="shared" si="1"/>
        <v>58846.572128231506</v>
      </c>
      <c r="F33" s="114">
        <f t="shared" si="2"/>
        <v>12910.935159931501</v>
      </c>
      <c r="G33" s="114">
        <f t="shared" si="3"/>
        <v>5372.669801469924</v>
      </c>
      <c r="H33" s="114">
        <f t="shared" si="4"/>
        <v>2595.13383085501</v>
      </c>
      <c r="I33" s="116">
        <f t="shared" si="5"/>
        <v>1906.6289369547012</v>
      </c>
    </row>
    <row r="34" spans="1:9" ht="15.75">
      <c r="A34" s="78"/>
      <c r="B34" s="105">
        <v>2300</v>
      </c>
      <c r="C34" s="106">
        <f>B34*3600*1000/(C5*(C2-C3)*C6)</f>
        <v>101.04999240904647</v>
      </c>
      <c r="D34" s="104">
        <f t="shared" si="0"/>
        <v>462249.9305508533</v>
      </c>
      <c r="E34" s="104">
        <f t="shared" si="1"/>
        <v>64317.844330236505</v>
      </c>
      <c r="F34" s="157">
        <f t="shared" si="2"/>
        <v>14111.33202397472</v>
      </c>
      <c r="G34" s="114">
        <f t="shared" si="3"/>
        <v>5872.194886317335</v>
      </c>
      <c r="H34" s="114">
        <f t="shared" si="4"/>
        <v>2836.4169349634303</v>
      </c>
      <c r="I34" s="116">
        <f t="shared" si="5"/>
        <v>2083.8981562996632</v>
      </c>
    </row>
    <row r="35" spans="1:9" ht="15.75">
      <c r="A35" s="78"/>
      <c r="B35" s="105">
        <v>2400</v>
      </c>
      <c r="C35" s="106">
        <f>B35*3600*1000/(C5*(C2-C3)*C6)</f>
        <v>105.44347033987457</v>
      </c>
      <c r="D35" s="104">
        <f t="shared" si="0"/>
        <v>503319.395079946</v>
      </c>
      <c r="E35" s="104">
        <f t="shared" si="1"/>
        <v>70032.28418566393</v>
      </c>
      <c r="F35" s="157">
        <f t="shared" si="2"/>
        <v>15365.07985975319</v>
      </c>
      <c r="G35" s="114">
        <f t="shared" si="3"/>
        <v>6393.921086046851</v>
      </c>
      <c r="H35" s="114">
        <f t="shared" si="4"/>
        <v>3088.4237325877803</v>
      </c>
      <c r="I35" s="116">
        <f t="shared" si="5"/>
        <v>2269.046007615512</v>
      </c>
    </row>
    <row r="36" spans="1:9" ht="15.75">
      <c r="A36" s="78"/>
      <c r="B36" s="105">
        <v>2500</v>
      </c>
      <c r="C36" s="106">
        <f>B36*3600*1000/(C5*(C2-C3)*C6)</f>
        <v>109.83694827070268</v>
      </c>
      <c r="D36" s="104">
        <f t="shared" si="0"/>
        <v>546136.4963975109</v>
      </c>
      <c r="E36" s="104">
        <f t="shared" si="1"/>
        <v>75989.89169451382</v>
      </c>
      <c r="F36" s="157">
        <f t="shared" si="2"/>
        <v>16672.17866726692</v>
      </c>
      <c r="G36" s="114">
        <f t="shared" si="3"/>
        <v>6937.848400658476</v>
      </c>
      <c r="H36" s="114">
        <f t="shared" si="4"/>
        <v>3351.15422372806</v>
      </c>
      <c r="I36" s="116">
        <f t="shared" si="5"/>
        <v>2462.0724909022483</v>
      </c>
    </row>
    <row r="37" spans="1:9" ht="15.75">
      <c r="A37" s="78"/>
      <c r="B37" s="105">
        <v>2600</v>
      </c>
      <c r="C37" s="106">
        <f>B37*3600*1000/(C5*(C2-C3)*C6)</f>
        <v>114.23042620153079</v>
      </c>
      <c r="D37" s="104">
        <f t="shared" si="0"/>
        <v>590701.2345035479</v>
      </c>
      <c r="E37" s="104">
        <f t="shared" si="1"/>
        <v>82190.66685678615</v>
      </c>
      <c r="F37" s="157">
        <f t="shared" si="2"/>
        <v>18032.6284465159</v>
      </c>
      <c r="G37" s="114">
        <f t="shared" si="3"/>
        <v>7503.976830152208</v>
      </c>
      <c r="H37" s="114">
        <f t="shared" si="4"/>
        <v>3624.60840838427</v>
      </c>
      <c r="I37" s="116">
        <f t="shared" si="5"/>
        <v>2662.977606159872</v>
      </c>
    </row>
    <row r="38" spans="1:9" ht="15.75">
      <c r="A38" s="78"/>
      <c r="B38" s="105">
        <v>2700</v>
      </c>
      <c r="C38" s="106">
        <f>B38*3600*1000/(C5*(C2-C3)*C6)</f>
        <v>118.62390413235889</v>
      </c>
      <c r="D38" s="104">
        <f t="shared" si="0"/>
        <v>637013.6093980566</v>
      </c>
      <c r="E38" s="104">
        <f t="shared" si="1"/>
        <v>88634.60967248092</v>
      </c>
      <c r="F38" s="157">
        <f t="shared" si="2"/>
        <v>19446.429197500132</v>
      </c>
      <c r="G38" s="114">
        <f t="shared" si="3"/>
        <v>8092.306374528045</v>
      </c>
      <c r="H38" s="114">
        <f t="shared" si="4"/>
        <v>3908.7862865564093</v>
      </c>
      <c r="I38" s="116">
        <f t="shared" si="5"/>
        <v>2871.7613533883823</v>
      </c>
    </row>
    <row r="39" spans="1:9" ht="15.75">
      <c r="A39" s="78"/>
      <c r="B39" s="105">
        <v>2800</v>
      </c>
      <c r="C39" s="106">
        <f>B39*3600*1000/(C5*(C2-C3)*C6)</f>
        <v>123.017382063187</v>
      </c>
      <c r="D39" s="104">
        <f t="shared" si="0"/>
        <v>685073.6210810378</v>
      </c>
      <c r="E39" s="104">
        <f t="shared" si="1"/>
        <v>95321.72014159815</v>
      </c>
      <c r="F39" s="157">
        <f t="shared" si="2"/>
        <v>20913.58092021962</v>
      </c>
      <c r="G39" s="114">
        <f t="shared" si="3"/>
        <v>8702.837033785992</v>
      </c>
      <c r="H39" s="114">
        <f t="shared" si="4"/>
        <v>4203.687858244479</v>
      </c>
      <c r="I39" s="116">
        <f t="shared" si="5"/>
        <v>3088.4237325877807</v>
      </c>
    </row>
    <row r="40" spans="1:9" ht="15.75">
      <c r="A40" s="78"/>
      <c r="B40" s="105">
        <v>2900</v>
      </c>
      <c r="C40" s="106">
        <f>B40*3600*1000/(C5*(C2-C3)*C6)</f>
        <v>127.41085999401511</v>
      </c>
      <c r="D40" s="104">
        <f t="shared" si="0"/>
        <v>734881.2695524908</v>
      </c>
      <c r="E40" s="104">
        <f t="shared" si="1"/>
        <v>102251.99826413782</v>
      </c>
      <c r="F40" s="157">
        <f t="shared" si="2"/>
        <v>22434.083614674368</v>
      </c>
      <c r="G40" s="114">
        <f t="shared" si="3"/>
        <v>9335.568807926047</v>
      </c>
      <c r="H40" s="114">
        <f t="shared" si="4"/>
        <v>4509.313123448478</v>
      </c>
      <c r="I40" s="116">
        <f t="shared" si="5"/>
        <v>3312.964743758066</v>
      </c>
    </row>
    <row r="41" spans="1:9" ht="16.5" thickBot="1">
      <c r="A41" s="78"/>
      <c r="B41" s="107">
        <v>3000</v>
      </c>
      <c r="C41" s="108">
        <f>B41*3600*1000/(C5*(C2-C3)*C6)</f>
        <v>131.80433792484322</v>
      </c>
      <c r="D41" s="112">
        <f t="shared" si="0"/>
        <v>786436.5548124159</v>
      </c>
      <c r="E41" s="112">
        <f t="shared" si="1"/>
        <v>109425.44404009993</v>
      </c>
      <c r="F41" s="152">
        <f t="shared" si="2"/>
        <v>24007.937280864364</v>
      </c>
      <c r="G41" s="115">
        <f t="shared" si="3"/>
        <v>9990.501696948206</v>
      </c>
      <c r="H41" s="115">
        <f t="shared" si="4"/>
        <v>4825.662082168407</v>
      </c>
      <c r="I41" s="117">
        <f t="shared" si="5"/>
        <v>3545.384386899238</v>
      </c>
    </row>
    <row r="42" spans="1:9" ht="15.75" thickBot="1">
      <c r="A42" s="78"/>
      <c r="B42" s="79"/>
      <c r="C42" s="118"/>
      <c r="D42" s="119"/>
      <c r="E42" s="119"/>
      <c r="F42" s="119"/>
      <c r="G42" s="119"/>
      <c r="H42" s="119"/>
      <c r="I42" s="119"/>
    </row>
    <row r="43" spans="1:9" ht="16.5" thickBot="1">
      <c r="A43" s="78"/>
      <c r="B43" s="125">
        <f>C43*(C5*(C2-C3)*C6)/3600000</f>
        <v>2276.101111111111</v>
      </c>
      <c r="C43" s="124">
        <v>100</v>
      </c>
      <c r="D43" s="123">
        <f>C43*C43/(0.047*0.047*10)</f>
        <v>452693.5264825713</v>
      </c>
      <c r="E43" s="120">
        <f>C43*C43/(0.126*0.126*10)</f>
        <v>62988.15822625346</v>
      </c>
      <c r="F43" s="121">
        <f t="shared" si="2"/>
        <v>13819.598955238318</v>
      </c>
      <c r="G43" s="121">
        <f t="shared" si="3"/>
        <v>5750.795047415306</v>
      </c>
      <c r="H43" s="121">
        <f t="shared" si="4"/>
        <v>2777.777777777778</v>
      </c>
      <c r="I43" s="122">
        <f t="shared" si="5"/>
        <v>2040.8163265306125</v>
      </c>
    </row>
    <row r="44" spans="1:9" ht="15">
      <c r="A44" s="78"/>
      <c r="B44" s="79"/>
      <c r="C44" s="79"/>
      <c r="D44" s="79"/>
      <c r="E44" s="79"/>
      <c r="F44" s="79"/>
      <c r="G44" s="79"/>
      <c r="H44" s="79"/>
      <c r="I44" s="79"/>
    </row>
    <row r="45" spans="1:9" ht="15">
      <c r="A45" s="78"/>
      <c r="B45" s="79"/>
      <c r="C45" s="79"/>
      <c r="D45" s="79"/>
      <c r="E45" s="79"/>
      <c r="F45" s="79"/>
      <c r="G45" s="79"/>
      <c r="H45" s="79"/>
      <c r="I45" s="79"/>
    </row>
    <row r="46" spans="1:9" ht="15">
      <c r="A46" s="78"/>
      <c r="B46" s="79"/>
      <c r="C46" s="79"/>
      <c r="D46" s="79"/>
      <c r="E46" s="79"/>
      <c r="F46" s="79"/>
      <c r="G46" s="79"/>
      <c r="H46" s="79"/>
      <c r="I46" s="79"/>
    </row>
    <row r="47" spans="1:9" ht="12.75" hidden="1">
      <c r="A47" s="78"/>
      <c r="B47" s="78"/>
      <c r="C47">
        <f>(C2+C3)/2</f>
        <v>70</v>
      </c>
      <c r="D47" s="78"/>
      <c r="E47" s="78"/>
      <c r="F47" s="78"/>
      <c r="G47" s="78"/>
      <c r="H47" s="78"/>
      <c r="I47" s="78"/>
    </row>
    <row r="48" spans="1:9" ht="12.75">
      <c r="A48" s="78"/>
      <c r="B48" s="78"/>
      <c r="C48" s="78"/>
      <c r="D48" s="78"/>
      <c r="E48" s="78"/>
      <c r="F48" s="78"/>
      <c r="G48" s="78"/>
      <c r="H48" s="78"/>
      <c r="I48" s="78"/>
    </row>
  </sheetData>
  <sheetProtection password="CAA5" sheet="1" objects="1" scenarios="1" selectLockedCells="1"/>
  <mergeCells count="3">
    <mergeCell ref="D2:I2"/>
    <mergeCell ref="B11:C11"/>
    <mergeCell ref="D11:I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8"/>
  <sheetViews>
    <sheetView zoomScale="75" zoomScaleNormal="75" zoomScalePageLayoutView="0" workbookViewId="0" topLeftCell="A1">
      <selection activeCell="C43" sqref="C43"/>
    </sheetView>
  </sheetViews>
  <sheetFormatPr defaultColWidth="9.00390625" defaultRowHeight="12.75"/>
  <cols>
    <col min="4" max="4" width="8.75390625" style="0" customWidth="1"/>
    <col min="5" max="5" width="9.625" style="0" bestFit="1" customWidth="1"/>
  </cols>
  <sheetData>
    <row r="1" spans="1:9" ht="13.5" thickBot="1">
      <c r="A1" s="78"/>
      <c r="B1" s="113" t="s">
        <v>66</v>
      </c>
      <c r="C1" s="78"/>
      <c r="D1" s="78"/>
      <c r="E1" s="78"/>
      <c r="F1" s="78"/>
      <c r="G1" s="78"/>
      <c r="H1" s="78"/>
      <c r="I1" s="78"/>
    </row>
    <row r="2" spans="1:9" ht="16.5" thickBot="1">
      <c r="A2" s="79"/>
      <c r="B2" s="80" t="s">
        <v>0</v>
      </c>
      <c r="C2" s="110">
        <v>80</v>
      </c>
      <c r="D2" s="194" t="s">
        <v>6</v>
      </c>
      <c r="E2" s="194"/>
      <c r="F2" s="194"/>
      <c r="G2" s="194"/>
      <c r="H2" s="194"/>
      <c r="I2" s="195"/>
    </row>
    <row r="3" spans="1:9" ht="15.75">
      <c r="A3" s="79"/>
      <c r="B3" s="81" t="s">
        <v>4</v>
      </c>
      <c r="C3" s="109">
        <v>60</v>
      </c>
      <c r="D3" s="82" t="s">
        <v>6</v>
      </c>
      <c r="E3" s="82"/>
      <c r="F3" s="82"/>
      <c r="G3" s="82"/>
      <c r="H3" s="82"/>
      <c r="I3" s="83"/>
    </row>
    <row r="4" spans="1:9" ht="15">
      <c r="A4" s="79"/>
      <c r="B4" s="84"/>
      <c r="C4" s="82"/>
      <c r="D4" s="82"/>
      <c r="E4" s="82"/>
      <c r="F4" s="82"/>
      <c r="G4" s="82"/>
      <c r="H4" s="82"/>
      <c r="I4" s="83"/>
    </row>
    <row r="5" spans="1:9" ht="15.75">
      <c r="A5" s="79"/>
      <c r="B5" s="85" t="s">
        <v>42</v>
      </c>
      <c r="C5" s="86">
        <f>IF(C47&gt;=90,4205,IF(C47&gt;=80,4196,IF(C47&gt;=70,4190,IF(C47&gt;=65,4184,IF(C47&gt;=60,4184,IF(C47&gt;=55,4181,IF(C47&gt;=50,4181,IF(C47&gt;=45,4178,4178))))))))</f>
        <v>4190</v>
      </c>
      <c r="D5" s="87" t="s">
        <v>5</v>
      </c>
      <c r="E5" s="87" t="s">
        <v>44</v>
      </c>
      <c r="F5" s="82"/>
      <c r="G5" s="82"/>
      <c r="H5" s="82"/>
      <c r="I5" s="83"/>
    </row>
    <row r="6" spans="1:9" ht="18">
      <c r="A6" s="79"/>
      <c r="B6" s="88" t="s">
        <v>41</v>
      </c>
      <c r="C6" s="89">
        <f>IF(C47&gt;=90,965.3,IF(C47&gt;=80,971.8,IF(C47&gt;=70,977.8,IF(C47&gt;=65,983.2,IF(C47&gt;=60,983.2,IF(C47&gt;=55,988,IF(C47&gt;=50,988,IF(C47&gt;=45,992.2,992.2))))))))</f>
        <v>977.8</v>
      </c>
      <c r="D6" s="87" t="s">
        <v>7</v>
      </c>
      <c r="E6" s="87" t="s">
        <v>45</v>
      </c>
      <c r="F6" s="82"/>
      <c r="G6" s="82"/>
      <c r="H6" s="82"/>
      <c r="I6" s="83"/>
    </row>
    <row r="7" spans="1:9" ht="18">
      <c r="A7" s="79"/>
      <c r="B7" s="88" t="s">
        <v>43</v>
      </c>
      <c r="C7" s="90">
        <f>IF(C47&gt;=90,0.32,IF(C47&gt;=80,0.36,IF(C47&gt;=70,0.41,IF(C47&gt;=65,0.43,IF(C47&gt;=60,0.47,IF(C47&gt;=55,0.51,IF(C47&gt;=50,0.55,IF(C47&gt;=45,0.6,0.66))))))))</f>
        <v>0.41</v>
      </c>
      <c r="D7" s="91" t="s">
        <v>8</v>
      </c>
      <c r="E7" s="87" t="s">
        <v>46</v>
      </c>
      <c r="F7" s="82"/>
      <c r="G7" s="82"/>
      <c r="H7" s="82"/>
      <c r="I7" s="83"/>
    </row>
    <row r="8" spans="1:9" ht="15.75" thickBot="1">
      <c r="A8" s="79"/>
      <c r="B8" s="92"/>
      <c r="C8" s="93"/>
      <c r="D8" s="93"/>
      <c r="E8" s="93"/>
      <c r="F8" s="93"/>
      <c r="G8" s="93"/>
      <c r="H8" s="93"/>
      <c r="I8" s="94"/>
    </row>
    <row r="9" spans="1:9" ht="15">
      <c r="A9" s="79"/>
      <c r="B9" s="95"/>
      <c r="C9" s="96"/>
      <c r="D9" s="96"/>
      <c r="E9" s="96"/>
      <c r="F9" s="96"/>
      <c r="G9" s="96"/>
      <c r="H9" s="96"/>
      <c r="I9" s="96"/>
    </row>
    <row r="10" spans="1:9" ht="15.75" thickBot="1">
      <c r="A10" s="79"/>
      <c r="B10" s="113" t="s">
        <v>63</v>
      </c>
      <c r="C10" s="96"/>
      <c r="D10" s="96"/>
      <c r="E10" s="96"/>
      <c r="F10" s="96"/>
      <c r="G10" s="96"/>
      <c r="H10" s="96"/>
      <c r="I10" s="96"/>
    </row>
    <row r="11" spans="1:18" ht="15.75" thickBot="1">
      <c r="A11" s="79"/>
      <c r="B11" s="196" t="s">
        <v>65</v>
      </c>
      <c r="C11" s="201"/>
      <c r="D11" s="198" t="s">
        <v>64</v>
      </c>
      <c r="E11" s="199"/>
      <c r="F11" s="199"/>
      <c r="G11" s="199"/>
      <c r="H11" s="199"/>
      <c r="I11" s="199"/>
      <c r="J11" s="162"/>
      <c r="K11" s="162"/>
      <c r="L11" s="162"/>
      <c r="M11" s="162"/>
      <c r="N11" s="162"/>
      <c r="O11" s="162"/>
      <c r="P11" s="162"/>
      <c r="Q11" s="162"/>
      <c r="R11" s="163"/>
    </row>
    <row r="12" spans="1:18" ht="16.5" thickBot="1">
      <c r="A12" s="79"/>
      <c r="B12" s="97" t="s">
        <v>62</v>
      </c>
      <c r="C12" s="98" t="s">
        <v>22</v>
      </c>
      <c r="D12" s="159">
        <v>1</v>
      </c>
      <c r="E12" s="160">
        <v>1.5</v>
      </c>
      <c r="F12" s="160">
        <v>2</v>
      </c>
      <c r="G12" s="160">
        <v>2.5</v>
      </c>
      <c r="H12" s="160">
        <v>3</v>
      </c>
      <c r="I12" s="161">
        <v>3.5</v>
      </c>
      <c r="J12" s="154">
        <v>4</v>
      </c>
      <c r="K12" s="155">
        <v>4.5</v>
      </c>
      <c r="L12" s="155">
        <v>5</v>
      </c>
      <c r="M12" s="155">
        <v>5.5</v>
      </c>
      <c r="N12" s="155">
        <v>6</v>
      </c>
      <c r="O12" s="155">
        <v>6.5</v>
      </c>
      <c r="P12" s="155">
        <v>7</v>
      </c>
      <c r="Q12" s="155">
        <v>7.5</v>
      </c>
      <c r="R12" s="156">
        <v>8</v>
      </c>
    </row>
    <row r="13" spans="1:18" ht="15.75">
      <c r="A13" s="79"/>
      <c r="B13" s="102">
        <v>200</v>
      </c>
      <c r="C13" s="103">
        <f>B13*3600*1000/(C5*(C2-C3)*C6)</f>
        <v>8.786955861656214</v>
      </c>
      <c r="D13" s="164">
        <f>C13*C13/(0.13*0.13*10)</f>
        <v>456.867416063281</v>
      </c>
      <c r="E13" s="157">
        <f>C13*C13/(0.18*0.18*10)</f>
        <v>238.3043003539954</v>
      </c>
      <c r="F13" s="157">
        <f>C13*C13/(0.22*0.22*10)</f>
        <v>159.52601924523657</v>
      </c>
      <c r="G13" s="157">
        <f>C13*C13/(0.27*0.27*10)</f>
        <v>105.91302237955347</v>
      </c>
      <c r="H13" s="157">
        <f>C13*C13/(0.31*0.31*10)</f>
        <v>80.34400969271019</v>
      </c>
      <c r="I13" s="157">
        <f>C13*C13/(0.35*0.35*10)</f>
        <v>63.02905576709755</v>
      </c>
      <c r="J13" s="157">
        <f>C13*C13/(0.38*0.38*10)</f>
        <v>53.469939968625</v>
      </c>
      <c r="K13" s="157">
        <f>C13*C13/(0.42*0.42*10)</f>
        <v>43.770177616039966</v>
      </c>
      <c r="L13" s="157">
        <f>C13*C13/(0.47*0.47*10)</f>
        <v>34.9527357694407</v>
      </c>
      <c r="M13" s="157">
        <f>C13*C13/(0.52*0.52*10)</f>
        <v>28.55421350395506</v>
      </c>
      <c r="N13" s="157">
        <f>C13*C13/(0.57*0.57*10)</f>
        <v>23.764417763833332</v>
      </c>
      <c r="O13" s="157">
        <f>C13*C13/(0.62*0.62*10)</f>
        <v>20.086002423177547</v>
      </c>
      <c r="P13" s="157">
        <f>C13*C13/(0.66*0.66*10)</f>
        <v>17.725113249470724</v>
      </c>
      <c r="Q13" s="157">
        <f>C13*C13/(0.71*0.71*10)</f>
        <v>15.316523172920945</v>
      </c>
      <c r="R13" s="158">
        <f>C13*C13/(0.75*0.75*10)</f>
        <v>13.726327700390131</v>
      </c>
    </row>
    <row r="14" spans="1:18" ht="15.75">
      <c r="A14" s="79"/>
      <c r="B14" s="105">
        <v>300</v>
      </c>
      <c r="C14" s="106">
        <f>B14*3600*1000/(C5*(C2-C3)*C6)</f>
        <v>13.18043379248432</v>
      </c>
      <c r="D14" s="164">
        <f aca="true" t="shared" si="0" ref="D14:D41">C14*C14/(0.13*0.13*10)</f>
        <v>1027.9516861423822</v>
      </c>
      <c r="E14" s="157">
        <f aca="true" t="shared" si="1" ref="E14:E41">C14*C14/(0.18*0.18*10)</f>
        <v>536.1846757964896</v>
      </c>
      <c r="F14" s="157">
        <f aca="true" t="shared" si="2" ref="F14:F43">C14*C14/(0.22*0.22*10)</f>
        <v>358.93354330178227</v>
      </c>
      <c r="G14" s="157">
        <f aca="true" t="shared" si="3" ref="G14:G41">C14*C14/(0.27*0.27*10)</f>
        <v>238.30430035399533</v>
      </c>
      <c r="H14" s="157">
        <f aca="true" t="shared" si="4" ref="H14:H43">C14*C14/(0.31*0.31*10)</f>
        <v>180.77402180859792</v>
      </c>
      <c r="I14" s="157">
        <f aca="true" t="shared" si="5" ref="I14:I43">C14*C14/(0.35*0.35*10)</f>
        <v>141.8153754759695</v>
      </c>
      <c r="J14" s="157">
        <f aca="true" t="shared" si="6" ref="J14:J43">C14*C14/(0.38*0.38*10)</f>
        <v>120.30736492940625</v>
      </c>
      <c r="K14" s="157">
        <f aca="true" t="shared" si="7" ref="K14:K43">C14*C14/(0.42*0.42*10)</f>
        <v>98.48289963608993</v>
      </c>
      <c r="L14" s="157">
        <f aca="true" t="shared" si="8" ref="L14:L43">C14*C14/(0.47*0.47*10)</f>
        <v>78.64365548124158</v>
      </c>
      <c r="M14" s="157">
        <f aca="true" t="shared" si="9" ref="M14:M43">C14*C14/(0.52*0.52*10)</f>
        <v>64.24698038389889</v>
      </c>
      <c r="N14" s="157">
        <f aca="true" t="shared" si="10" ref="N14:N43">C14*C14/(0.57*0.57*10)</f>
        <v>53.469939968625</v>
      </c>
      <c r="O14" s="157">
        <f aca="true" t="shared" si="11" ref="O14:O43">C14*C14/(0.62*0.62*10)</f>
        <v>45.19350545214948</v>
      </c>
      <c r="P14" s="157">
        <f aca="true" t="shared" si="12" ref="P14:P43">C14*C14/(0.66*0.66*10)</f>
        <v>39.881504811309135</v>
      </c>
      <c r="Q14" s="157">
        <f aca="true" t="shared" si="13" ref="Q14:Q43">C14*C14/(0.71*0.71*10)</f>
        <v>34.462177139072125</v>
      </c>
      <c r="R14" s="158">
        <f aca="true" t="shared" si="14" ref="R14:R43">C14*C14/(0.75*0.75*10)</f>
        <v>30.8842373258778</v>
      </c>
    </row>
    <row r="15" spans="1:18" ht="15.75">
      <c r="A15" s="79"/>
      <c r="B15" s="105">
        <v>400</v>
      </c>
      <c r="C15" s="106">
        <f>B15*3600*1000/(C5*(C2-C3)*C6)</f>
        <v>17.573911723312428</v>
      </c>
      <c r="D15" s="164">
        <f t="shared" si="0"/>
        <v>1827.469664253124</v>
      </c>
      <c r="E15" s="157">
        <f t="shared" si="1"/>
        <v>953.2172014159815</v>
      </c>
      <c r="F15" s="157">
        <f t="shared" si="2"/>
        <v>638.1040769809463</v>
      </c>
      <c r="G15" s="157">
        <f t="shared" si="3"/>
        <v>423.65208951821387</v>
      </c>
      <c r="H15" s="157">
        <f t="shared" si="4"/>
        <v>321.37603877084075</v>
      </c>
      <c r="I15" s="157">
        <f t="shared" si="5"/>
        <v>252.1162230683902</v>
      </c>
      <c r="J15" s="157">
        <f t="shared" si="6"/>
        <v>213.8797598745</v>
      </c>
      <c r="K15" s="157">
        <f t="shared" si="7"/>
        <v>175.08071046415986</v>
      </c>
      <c r="L15" s="157">
        <f t="shared" si="8"/>
        <v>139.8109430777628</v>
      </c>
      <c r="M15" s="157">
        <f t="shared" si="9"/>
        <v>114.21685401582025</v>
      </c>
      <c r="N15" s="157">
        <f t="shared" si="10"/>
        <v>95.05767105533333</v>
      </c>
      <c r="O15" s="157">
        <f t="shared" si="11"/>
        <v>80.34400969271019</v>
      </c>
      <c r="P15" s="157">
        <f t="shared" si="12"/>
        <v>70.9004529978829</v>
      </c>
      <c r="Q15" s="157">
        <f t="shared" si="13"/>
        <v>61.26609269168378</v>
      </c>
      <c r="R15" s="158">
        <f t="shared" si="14"/>
        <v>54.905310801560525</v>
      </c>
    </row>
    <row r="16" spans="1:18" ht="15.75">
      <c r="A16" s="79"/>
      <c r="B16" s="105">
        <v>500</v>
      </c>
      <c r="C16" s="106">
        <f>B16*3600*1000/(C5*(C2-C3)*C6)</f>
        <v>21.967389654140536</v>
      </c>
      <c r="D16" s="164">
        <f t="shared" si="0"/>
        <v>2855.4213503955066</v>
      </c>
      <c r="E16" s="164">
        <f t="shared" si="1"/>
        <v>1489.4018772124714</v>
      </c>
      <c r="F16" s="157">
        <f t="shared" si="2"/>
        <v>997.0376202827287</v>
      </c>
      <c r="G16" s="157">
        <f t="shared" si="3"/>
        <v>661.9563898722093</v>
      </c>
      <c r="H16" s="157">
        <f t="shared" si="4"/>
        <v>502.15006057943873</v>
      </c>
      <c r="I16" s="157">
        <f t="shared" si="5"/>
        <v>393.93159854435976</v>
      </c>
      <c r="J16" s="157">
        <f t="shared" si="6"/>
        <v>334.1871248039063</v>
      </c>
      <c r="K16" s="157">
        <f t="shared" si="7"/>
        <v>273.56361010024983</v>
      </c>
      <c r="L16" s="157">
        <f t="shared" si="8"/>
        <v>218.4545985590044</v>
      </c>
      <c r="M16" s="157">
        <f t="shared" si="9"/>
        <v>178.46383439971916</v>
      </c>
      <c r="N16" s="157">
        <f t="shared" si="10"/>
        <v>148.52761102395837</v>
      </c>
      <c r="O16" s="157">
        <f t="shared" si="11"/>
        <v>125.53751514485968</v>
      </c>
      <c r="P16" s="157">
        <f t="shared" si="12"/>
        <v>110.78195780919205</v>
      </c>
      <c r="Q16" s="157">
        <f t="shared" si="13"/>
        <v>95.72826983075592</v>
      </c>
      <c r="R16" s="158">
        <f t="shared" si="14"/>
        <v>85.78954812743834</v>
      </c>
    </row>
    <row r="17" spans="1:18" ht="15.75">
      <c r="A17" s="79"/>
      <c r="B17" s="105">
        <v>600</v>
      </c>
      <c r="C17" s="106">
        <f>B17*3600*1000/(C5*(C2-C3)*C6)</f>
        <v>26.36086758496864</v>
      </c>
      <c r="D17" s="164">
        <f t="shared" si="0"/>
        <v>4111.806744569529</v>
      </c>
      <c r="E17" s="164">
        <f t="shared" si="1"/>
        <v>2144.7387031859585</v>
      </c>
      <c r="F17" s="164">
        <f t="shared" si="2"/>
        <v>1435.734173207129</v>
      </c>
      <c r="G17" s="157">
        <f t="shared" si="3"/>
        <v>953.2172014159813</v>
      </c>
      <c r="H17" s="157">
        <f t="shared" si="4"/>
        <v>723.0960872343917</v>
      </c>
      <c r="I17" s="157">
        <f t="shared" si="5"/>
        <v>567.261501903878</v>
      </c>
      <c r="J17" s="157">
        <f t="shared" si="6"/>
        <v>481.229459717625</v>
      </c>
      <c r="K17" s="157">
        <f t="shared" si="7"/>
        <v>393.9315985443597</v>
      </c>
      <c r="L17" s="157">
        <f t="shared" si="8"/>
        <v>314.5746219249663</v>
      </c>
      <c r="M17" s="157">
        <f t="shared" si="9"/>
        <v>256.98792153559555</v>
      </c>
      <c r="N17" s="157">
        <f t="shared" si="10"/>
        <v>213.8797598745</v>
      </c>
      <c r="O17" s="157">
        <f t="shared" si="11"/>
        <v>180.77402180859792</v>
      </c>
      <c r="P17" s="157">
        <f t="shared" si="12"/>
        <v>159.52601924523654</v>
      </c>
      <c r="Q17" s="157">
        <f t="shared" si="13"/>
        <v>137.8487085562885</v>
      </c>
      <c r="R17" s="158">
        <f t="shared" si="14"/>
        <v>123.5369493035112</v>
      </c>
    </row>
    <row r="18" spans="1:18" ht="15.75">
      <c r="A18" s="79"/>
      <c r="B18" s="105">
        <v>700</v>
      </c>
      <c r="C18" s="106">
        <f>B18*3600*1000/(C5*(C2-C3)*C6)</f>
        <v>30.75434551579675</v>
      </c>
      <c r="D18" s="164">
        <f t="shared" si="0"/>
        <v>5596.625846775193</v>
      </c>
      <c r="E18" s="164">
        <f t="shared" si="1"/>
        <v>2919.227679336444</v>
      </c>
      <c r="F18" s="164">
        <f t="shared" si="2"/>
        <v>1954.1937357541483</v>
      </c>
      <c r="G18" s="164">
        <f t="shared" si="3"/>
        <v>1297.4345241495303</v>
      </c>
      <c r="H18" s="157">
        <f t="shared" si="4"/>
        <v>984.2141187356999</v>
      </c>
      <c r="I18" s="157">
        <f t="shared" si="5"/>
        <v>772.1059331469452</v>
      </c>
      <c r="J18" s="157">
        <f t="shared" si="6"/>
        <v>655.0067646156564</v>
      </c>
      <c r="K18" s="157">
        <f t="shared" si="7"/>
        <v>536.1846757964897</v>
      </c>
      <c r="L18" s="157">
        <f t="shared" si="8"/>
        <v>428.1710131756486</v>
      </c>
      <c r="M18" s="157">
        <f t="shared" si="9"/>
        <v>349.7891154234496</v>
      </c>
      <c r="N18" s="157">
        <f t="shared" si="10"/>
        <v>291.11411760695836</v>
      </c>
      <c r="O18" s="157">
        <f t="shared" si="11"/>
        <v>246.05352968392498</v>
      </c>
      <c r="P18" s="157">
        <f t="shared" si="12"/>
        <v>217.13263730601642</v>
      </c>
      <c r="Q18" s="157">
        <f t="shared" si="13"/>
        <v>187.6274088682816</v>
      </c>
      <c r="R18" s="158">
        <f t="shared" si="14"/>
        <v>168.14751432977914</v>
      </c>
    </row>
    <row r="19" spans="1:18" ht="15.75">
      <c r="A19" s="79"/>
      <c r="B19" s="105">
        <v>800</v>
      </c>
      <c r="C19" s="106">
        <f>B19*3600*1000/(C5*(C2-C3)*C6)</f>
        <v>35.147823446624855</v>
      </c>
      <c r="D19" s="164">
        <f t="shared" si="0"/>
        <v>7309.878657012496</v>
      </c>
      <c r="E19" s="164">
        <f t="shared" si="1"/>
        <v>3812.868805663926</v>
      </c>
      <c r="F19" s="164">
        <f t="shared" si="2"/>
        <v>2552.416307923785</v>
      </c>
      <c r="G19" s="164">
        <f t="shared" si="3"/>
        <v>1694.6083580728555</v>
      </c>
      <c r="H19" s="164">
        <f t="shared" si="4"/>
        <v>1285.504155083363</v>
      </c>
      <c r="I19" s="157">
        <f t="shared" si="5"/>
        <v>1008.4648922735608</v>
      </c>
      <c r="J19" s="157">
        <f t="shared" si="6"/>
        <v>855.519039498</v>
      </c>
      <c r="K19" s="157">
        <f t="shared" si="7"/>
        <v>700.3228418566395</v>
      </c>
      <c r="L19" s="157">
        <f t="shared" si="8"/>
        <v>559.2437723110512</v>
      </c>
      <c r="M19" s="157">
        <f t="shared" si="9"/>
        <v>456.867416063281</v>
      </c>
      <c r="N19" s="157">
        <f t="shared" si="10"/>
        <v>380.2306842213333</v>
      </c>
      <c r="O19" s="157">
        <f t="shared" si="11"/>
        <v>321.37603877084075</v>
      </c>
      <c r="P19" s="157">
        <f t="shared" si="12"/>
        <v>283.6018119915316</v>
      </c>
      <c r="Q19" s="157">
        <f t="shared" si="13"/>
        <v>245.06437076673512</v>
      </c>
      <c r="R19" s="158">
        <f t="shared" si="14"/>
        <v>219.6212432062421</v>
      </c>
    </row>
    <row r="20" spans="1:18" ht="15.75">
      <c r="A20" s="79"/>
      <c r="B20" s="105">
        <v>900</v>
      </c>
      <c r="C20" s="106">
        <f>B20*3600*1000/(C5*(C2-C3)*C6)</f>
        <v>39.54130137745297</v>
      </c>
      <c r="D20" s="164">
        <f t="shared" si="0"/>
        <v>9251.565175281443</v>
      </c>
      <c r="E20" s="164">
        <f t="shared" si="1"/>
        <v>4825.662082168407</v>
      </c>
      <c r="F20" s="164">
        <f t="shared" si="2"/>
        <v>3230.4018897160413</v>
      </c>
      <c r="G20" s="164">
        <f t="shared" si="3"/>
        <v>2144.7387031859585</v>
      </c>
      <c r="H20" s="164">
        <f t="shared" si="4"/>
        <v>1626.9661962773816</v>
      </c>
      <c r="I20" s="164">
        <f t="shared" si="5"/>
        <v>1276.3383792837258</v>
      </c>
      <c r="J20" s="157">
        <f t="shared" si="6"/>
        <v>1082.7662843646565</v>
      </c>
      <c r="K20" s="157">
        <f t="shared" si="7"/>
        <v>886.3460967248095</v>
      </c>
      <c r="L20" s="157">
        <f t="shared" si="8"/>
        <v>707.7928993311743</v>
      </c>
      <c r="M20" s="157">
        <f t="shared" si="9"/>
        <v>578.2228234550902</v>
      </c>
      <c r="N20" s="157">
        <f t="shared" si="10"/>
        <v>481.2294597176251</v>
      </c>
      <c r="O20" s="157">
        <f t="shared" si="11"/>
        <v>406.7415490693454</v>
      </c>
      <c r="P20" s="157">
        <f t="shared" si="12"/>
        <v>358.93354330178227</v>
      </c>
      <c r="Q20" s="157">
        <f t="shared" si="13"/>
        <v>310.15959425164925</v>
      </c>
      <c r="R20" s="158">
        <f t="shared" si="14"/>
        <v>277.95813593290023</v>
      </c>
    </row>
    <row r="21" spans="1:18" ht="15.75">
      <c r="A21" s="79"/>
      <c r="B21" s="105">
        <v>1000</v>
      </c>
      <c r="C21" s="106">
        <f>B21*3600*1000/(C5*(C2-C3)*C6)</f>
        <v>43.93477930828107</v>
      </c>
      <c r="D21" s="164">
        <f t="shared" si="0"/>
        <v>11421.685401582026</v>
      </c>
      <c r="E21" s="164">
        <f t="shared" si="1"/>
        <v>5957.607508849886</v>
      </c>
      <c r="F21" s="164">
        <f t="shared" si="2"/>
        <v>3988.1504811309146</v>
      </c>
      <c r="G21" s="164">
        <f t="shared" si="3"/>
        <v>2647.8255594888374</v>
      </c>
      <c r="H21" s="164">
        <f t="shared" si="4"/>
        <v>2008.600242317755</v>
      </c>
      <c r="I21" s="164">
        <f t="shared" si="5"/>
        <v>1575.726394177439</v>
      </c>
      <c r="J21" s="164">
        <f t="shared" si="6"/>
        <v>1336.748499215625</v>
      </c>
      <c r="K21" s="157">
        <f t="shared" si="7"/>
        <v>1094.2544404009993</v>
      </c>
      <c r="L21" s="157">
        <f t="shared" si="8"/>
        <v>873.8183942360176</v>
      </c>
      <c r="M21" s="157">
        <f t="shared" si="9"/>
        <v>713.8553375988766</v>
      </c>
      <c r="N21" s="157">
        <f t="shared" si="10"/>
        <v>594.1104440958335</v>
      </c>
      <c r="O21" s="157">
        <f t="shared" si="11"/>
        <v>502.15006057943873</v>
      </c>
      <c r="P21" s="157">
        <f t="shared" si="12"/>
        <v>443.1278312367682</v>
      </c>
      <c r="Q21" s="157">
        <f t="shared" si="13"/>
        <v>382.9130793230237</v>
      </c>
      <c r="R21" s="158">
        <f t="shared" si="14"/>
        <v>343.15819250975335</v>
      </c>
    </row>
    <row r="22" spans="1:18" ht="15.75">
      <c r="A22" s="79"/>
      <c r="B22" s="105">
        <v>1100</v>
      </c>
      <c r="C22" s="106">
        <f>B22*3600*1000/(C5*(C2-C3)*C6)</f>
        <v>48.32825723910918</v>
      </c>
      <c r="D22" s="157">
        <f t="shared" si="0"/>
        <v>13820.239335914252</v>
      </c>
      <c r="E22" s="164">
        <f t="shared" si="1"/>
        <v>7208.705085708361</v>
      </c>
      <c r="F22" s="164">
        <f t="shared" si="2"/>
        <v>4825.662082168406</v>
      </c>
      <c r="G22" s="164">
        <f t="shared" si="3"/>
        <v>3203.868926981493</v>
      </c>
      <c r="H22" s="164">
        <f t="shared" si="4"/>
        <v>2430.4062932044835</v>
      </c>
      <c r="I22" s="164">
        <f t="shared" si="5"/>
        <v>1906.6289369547012</v>
      </c>
      <c r="J22" s="164">
        <f t="shared" si="6"/>
        <v>1617.4656840509062</v>
      </c>
      <c r="K22" s="164">
        <f t="shared" si="7"/>
        <v>1324.0478728852092</v>
      </c>
      <c r="L22" s="157">
        <f t="shared" si="8"/>
        <v>1057.3202570255812</v>
      </c>
      <c r="M22" s="157">
        <f t="shared" si="9"/>
        <v>863.7649584946407</v>
      </c>
      <c r="N22" s="157">
        <f t="shared" si="10"/>
        <v>718.8736373559584</v>
      </c>
      <c r="O22" s="157">
        <f t="shared" si="11"/>
        <v>607.6015733011209</v>
      </c>
      <c r="P22" s="157">
        <f t="shared" si="12"/>
        <v>536.1846757964895</v>
      </c>
      <c r="Q22" s="157">
        <f t="shared" si="13"/>
        <v>463.3248259808587</v>
      </c>
      <c r="R22" s="158">
        <f t="shared" si="14"/>
        <v>415.2214129368015</v>
      </c>
    </row>
    <row r="23" spans="1:18" ht="15.75">
      <c r="A23" s="79"/>
      <c r="B23" s="105">
        <v>1200</v>
      </c>
      <c r="C23" s="106">
        <f>B23*3600*1000/(C5*(C2-C3)*C6)</f>
        <v>52.72173516993728</v>
      </c>
      <c r="D23" s="157">
        <f t="shared" si="0"/>
        <v>16447.226978278115</v>
      </c>
      <c r="E23" s="164">
        <f t="shared" si="1"/>
        <v>8578.954812743834</v>
      </c>
      <c r="F23" s="164">
        <f t="shared" si="2"/>
        <v>5742.936692828516</v>
      </c>
      <c r="G23" s="164">
        <f t="shared" si="3"/>
        <v>3812.8688056639253</v>
      </c>
      <c r="H23" s="164">
        <f t="shared" si="4"/>
        <v>2892.3843489375668</v>
      </c>
      <c r="I23" s="164">
        <f t="shared" si="5"/>
        <v>2269.046007615512</v>
      </c>
      <c r="J23" s="164">
        <f t="shared" si="6"/>
        <v>1924.9178388705</v>
      </c>
      <c r="K23" s="164">
        <f t="shared" si="7"/>
        <v>1575.7263941774388</v>
      </c>
      <c r="L23" s="164">
        <f t="shared" si="8"/>
        <v>1258.2984876998653</v>
      </c>
      <c r="M23" s="157">
        <f t="shared" si="9"/>
        <v>1027.9516861423822</v>
      </c>
      <c r="N23" s="157">
        <f t="shared" si="10"/>
        <v>855.519039498</v>
      </c>
      <c r="O23" s="157">
        <f t="shared" si="11"/>
        <v>723.0960872343917</v>
      </c>
      <c r="P23" s="157">
        <f t="shared" si="12"/>
        <v>638.1040769809462</v>
      </c>
      <c r="Q23" s="157">
        <f t="shared" si="13"/>
        <v>551.394834225154</v>
      </c>
      <c r="R23" s="158">
        <f t="shared" si="14"/>
        <v>494.1477972140448</v>
      </c>
    </row>
    <row r="24" spans="1:18" ht="15.75">
      <c r="A24" s="79"/>
      <c r="B24" s="105">
        <v>1300</v>
      </c>
      <c r="C24" s="106">
        <f>B24*3600*1000/(C5*(C2-C3)*C6)</f>
        <v>57.115213100765395</v>
      </c>
      <c r="D24" s="157">
        <f t="shared" si="0"/>
        <v>19302.648328673626</v>
      </c>
      <c r="E24" s="164">
        <f t="shared" si="1"/>
        <v>10068.356689956307</v>
      </c>
      <c r="F24" s="164">
        <f t="shared" si="2"/>
        <v>6739.9743131112455</v>
      </c>
      <c r="G24" s="164">
        <f t="shared" si="3"/>
        <v>4474.825195536135</v>
      </c>
      <c r="H24" s="164">
        <f t="shared" si="4"/>
        <v>3394.5344095170058</v>
      </c>
      <c r="I24" s="164">
        <f t="shared" si="5"/>
        <v>2662.977606159872</v>
      </c>
      <c r="J24" s="164">
        <f t="shared" si="6"/>
        <v>2259.1049636744065</v>
      </c>
      <c r="K24" s="164">
        <f t="shared" si="7"/>
        <v>1849.290004277689</v>
      </c>
      <c r="L24" s="164">
        <f t="shared" si="8"/>
        <v>1476.7530862588699</v>
      </c>
      <c r="M24" s="164">
        <f t="shared" si="9"/>
        <v>1206.4155205421016</v>
      </c>
      <c r="N24" s="157">
        <f t="shared" si="10"/>
        <v>1004.0466505219584</v>
      </c>
      <c r="O24" s="157">
        <f t="shared" si="11"/>
        <v>848.6336023792514</v>
      </c>
      <c r="P24" s="157">
        <f t="shared" si="12"/>
        <v>748.8860347901383</v>
      </c>
      <c r="Q24" s="157">
        <f t="shared" si="13"/>
        <v>647.1231040559101</v>
      </c>
      <c r="R24" s="158">
        <f t="shared" si="14"/>
        <v>579.9373453414831</v>
      </c>
    </row>
    <row r="25" spans="1:18" ht="15.75">
      <c r="A25" s="79"/>
      <c r="B25" s="105">
        <v>1400</v>
      </c>
      <c r="C25" s="106">
        <f>B25*3600*1000/(C5*(C2-C3)*C6)</f>
        <v>61.5086910315935</v>
      </c>
      <c r="D25" s="157">
        <f t="shared" si="0"/>
        <v>22386.503387100773</v>
      </c>
      <c r="E25" s="164">
        <f t="shared" si="1"/>
        <v>11676.910717345776</v>
      </c>
      <c r="F25" s="164">
        <f t="shared" si="2"/>
        <v>7816.774943016593</v>
      </c>
      <c r="G25" s="164">
        <f t="shared" si="3"/>
        <v>5189.738096598121</v>
      </c>
      <c r="H25" s="164">
        <f t="shared" si="4"/>
        <v>3936.8564749427997</v>
      </c>
      <c r="I25" s="164">
        <f t="shared" si="5"/>
        <v>3088.4237325877807</v>
      </c>
      <c r="J25" s="164">
        <f t="shared" si="6"/>
        <v>2620.0270584626255</v>
      </c>
      <c r="K25" s="164">
        <f t="shared" si="7"/>
        <v>2144.738703185959</v>
      </c>
      <c r="L25" s="164">
        <f t="shared" si="8"/>
        <v>1712.6840527025945</v>
      </c>
      <c r="M25" s="164">
        <f t="shared" si="9"/>
        <v>1399.1564616937983</v>
      </c>
      <c r="N25" s="164">
        <f t="shared" si="10"/>
        <v>1164.4564704278334</v>
      </c>
      <c r="O25" s="157">
        <f t="shared" si="11"/>
        <v>984.2141187356999</v>
      </c>
      <c r="P25" s="157">
        <f t="shared" si="12"/>
        <v>868.5305492240657</v>
      </c>
      <c r="Q25" s="157">
        <f t="shared" si="13"/>
        <v>750.5096354731264</v>
      </c>
      <c r="R25" s="158">
        <f t="shared" si="14"/>
        <v>672.5900573191166</v>
      </c>
    </row>
    <row r="26" spans="1:18" ht="15.75">
      <c r="A26" s="79"/>
      <c r="B26" s="105">
        <v>1500</v>
      </c>
      <c r="C26" s="106">
        <f>B26*3600*1000/(C5*(C2-C3)*C6)</f>
        <v>65.90216896242161</v>
      </c>
      <c r="D26" s="157">
        <f t="shared" si="0"/>
        <v>25698.792153559563</v>
      </c>
      <c r="E26" s="157">
        <f t="shared" si="1"/>
        <v>13404.616894912244</v>
      </c>
      <c r="F26" s="164">
        <f t="shared" si="2"/>
        <v>8973.338582544558</v>
      </c>
      <c r="G26" s="164">
        <f t="shared" si="3"/>
        <v>5957.607508849885</v>
      </c>
      <c r="H26" s="164">
        <f t="shared" si="4"/>
        <v>4519.350545214949</v>
      </c>
      <c r="I26" s="164">
        <f t="shared" si="5"/>
        <v>3545.384386899238</v>
      </c>
      <c r="J26" s="164">
        <f t="shared" si="6"/>
        <v>3007.6841232351567</v>
      </c>
      <c r="K26" s="164">
        <f t="shared" si="7"/>
        <v>2462.072490902249</v>
      </c>
      <c r="L26" s="164">
        <f t="shared" si="8"/>
        <v>1966.0913870310399</v>
      </c>
      <c r="M26" s="164">
        <f t="shared" si="9"/>
        <v>1606.1745095974727</v>
      </c>
      <c r="N26" s="164">
        <f t="shared" si="10"/>
        <v>1336.7484992156253</v>
      </c>
      <c r="O26" s="164">
        <f t="shared" si="11"/>
        <v>1129.8376363037373</v>
      </c>
      <c r="P26" s="157">
        <f t="shared" si="12"/>
        <v>997.0376202827285</v>
      </c>
      <c r="Q26" s="157">
        <f t="shared" si="13"/>
        <v>861.5544284768034</v>
      </c>
      <c r="R26" s="158">
        <f t="shared" si="14"/>
        <v>772.1059331469452</v>
      </c>
    </row>
    <row r="27" spans="1:18" ht="15.75">
      <c r="A27" s="79"/>
      <c r="B27" s="105">
        <v>1600</v>
      </c>
      <c r="C27" s="106">
        <f>B27*3600*1000/(C5*(C2-C3)*C6)</f>
        <v>70.29564689324971</v>
      </c>
      <c r="D27" s="157">
        <f t="shared" si="0"/>
        <v>29239.514628049983</v>
      </c>
      <c r="E27" s="157">
        <f t="shared" si="1"/>
        <v>15251.475222655705</v>
      </c>
      <c r="F27" s="164">
        <f t="shared" si="2"/>
        <v>10209.66523169514</v>
      </c>
      <c r="G27" s="164">
        <f t="shared" si="3"/>
        <v>6778.433432291422</v>
      </c>
      <c r="H27" s="164">
        <f t="shared" si="4"/>
        <v>5142.016620333452</v>
      </c>
      <c r="I27" s="164">
        <f t="shared" si="5"/>
        <v>4033.8595690942434</v>
      </c>
      <c r="J27" s="164">
        <f t="shared" si="6"/>
        <v>3422.076157992</v>
      </c>
      <c r="K27" s="164">
        <f t="shared" si="7"/>
        <v>2801.291367426558</v>
      </c>
      <c r="L27" s="164">
        <f t="shared" si="8"/>
        <v>2236.975089244205</v>
      </c>
      <c r="M27" s="164">
        <f t="shared" si="9"/>
        <v>1827.469664253124</v>
      </c>
      <c r="N27" s="164">
        <f t="shared" si="10"/>
        <v>1520.9227368853333</v>
      </c>
      <c r="O27" s="164">
        <f t="shared" si="11"/>
        <v>1285.504155083363</v>
      </c>
      <c r="P27" s="157">
        <f t="shared" si="12"/>
        <v>1134.4072479661263</v>
      </c>
      <c r="Q27" s="157">
        <f t="shared" si="13"/>
        <v>980.2574830669405</v>
      </c>
      <c r="R27" s="158">
        <f t="shared" si="14"/>
        <v>878.4849728249684</v>
      </c>
    </row>
    <row r="28" spans="1:18" ht="15.75">
      <c r="A28" s="78"/>
      <c r="B28" s="105">
        <v>1700</v>
      </c>
      <c r="C28" s="106">
        <f>B28*3600*1000/(C5*(C2-C3)*C6)</f>
        <v>74.68912482407782</v>
      </c>
      <c r="D28" s="157">
        <f t="shared" si="0"/>
        <v>33008.67081057206</v>
      </c>
      <c r="E28" s="157">
        <f t="shared" si="1"/>
        <v>17217.48570057617</v>
      </c>
      <c r="F28" s="164">
        <f t="shared" si="2"/>
        <v>11525.754890468344</v>
      </c>
      <c r="G28" s="164">
        <f t="shared" si="3"/>
        <v>7652.21586692274</v>
      </c>
      <c r="H28" s="164">
        <f t="shared" si="4"/>
        <v>5804.854700298312</v>
      </c>
      <c r="I28" s="164">
        <f t="shared" si="5"/>
        <v>4553.8492791727995</v>
      </c>
      <c r="J28" s="164">
        <f t="shared" si="6"/>
        <v>3863.203162733157</v>
      </c>
      <c r="K28" s="164">
        <f t="shared" si="7"/>
        <v>3162.3953327588883</v>
      </c>
      <c r="L28" s="164">
        <f t="shared" si="8"/>
        <v>2525.335159342091</v>
      </c>
      <c r="M28" s="164">
        <f t="shared" si="9"/>
        <v>2063.041925660754</v>
      </c>
      <c r="N28" s="164">
        <f t="shared" si="10"/>
        <v>1716.9791834369587</v>
      </c>
      <c r="O28" s="164">
        <f t="shared" si="11"/>
        <v>1451.213675074578</v>
      </c>
      <c r="P28" s="164">
        <f t="shared" si="12"/>
        <v>1280.6394322742601</v>
      </c>
      <c r="Q28" s="157">
        <f t="shared" si="13"/>
        <v>1106.6187992435387</v>
      </c>
      <c r="R28" s="158">
        <f t="shared" si="14"/>
        <v>991.7271763531872</v>
      </c>
    </row>
    <row r="29" spans="1:18" ht="15.75">
      <c r="A29" s="78"/>
      <c r="B29" s="105">
        <v>1800</v>
      </c>
      <c r="C29" s="106">
        <f>B29*3600*1000/(C5*(C2-C3)*C6)</f>
        <v>79.08260275490593</v>
      </c>
      <c r="D29" s="157">
        <f t="shared" si="0"/>
        <v>37006.26070112577</v>
      </c>
      <c r="E29" s="157">
        <f t="shared" si="1"/>
        <v>19302.64832867363</v>
      </c>
      <c r="F29" s="157">
        <f t="shared" si="2"/>
        <v>12921.607558864165</v>
      </c>
      <c r="G29" s="164">
        <f t="shared" si="3"/>
        <v>8578.954812743834</v>
      </c>
      <c r="H29" s="164">
        <f t="shared" si="4"/>
        <v>6507.864785109527</v>
      </c>
      <c r="I29" s="164">
        <f t="shared" si="5"/>
        <v>5105.353517134903</v>
      </c>
      <c r="J29" s="164">
        <f t="shared" si="6"/>
        <v>4331.065137458626</v>
      </c>
      <c r="K29" s="164">
        <f t="shared" si="7"/>
        <v>3545.384386899238</v>
      </c>
      <c r="L29" s="164">
        <f t="shared" si="8"/>
        <v>2831.1715973246974</v>
      </c>
      <c r="M29" s="164">
        <f t="shared" si="9"/>
        <v>2312.8912938203607</v>
      </c>
      <c r="N29" s="164">
        <f t="shared" si="10"/>
        <v>1924.9178388705004</v>
      </c>
      <c r="O29" s="164">
        <f t="shared" si="11"/>
        <v>1626.9661962773816</v>
      </c>
      <c r="P29" s="164">
        <f t="shared" si="12"/>
        <v>1435.734173207129</v>
      </c>
      <c r="Q29" s="164">
        <f t="shared" si="13"/>
        <v>1240.638377006597</v>
      </c>
      <c r="R29" s="158">
        <f t="shared" si="14"/>
        <v>1111.832543731601</v>
      </c>
    </row>
    <row r="30" spans="1:18" ht="15.75">
      <c r="A30" s="78"/>
      <c r="B30" s="105">
        <v>1900</v>
      </c>
      <c r="C30" s="106">
        <f>B30*3600*1000/(C5*(C2-C3)*C6)</f>
        <v>83.47608068573403</v>
      </c>
      <c r="D30" s="157">
        <f t="shared" si="0"/>
        <v>41232.284299711115</v>
      </c>
      <c r="E30" s="157">
        <f t="shared" si="1"/>
        <v>21506.963106948086</v>
      </c>
      <c r="F30" s="157">
        <f t="shared" si="2"/>
        <v>14397.2232368826</v>
      </c>
      <c r="G30" s="164">
        <f t="shared" si="3"/>
        <v>9558.650269754702</v>
      </c>
      <c r="H30" s="164">
        <f t="shared" si="4"/>
        <v>7251.046874767095</v>
      </c>
      <c r="I30" s="164">
        <f t="shared" si="5"/>
        <v>5688.372282980555</v>
      </c>
      <c r="J30" s="164">
        <f t="shared" si="6"/>
        <v>4825.662082168406</v>
      </c>
      <c r="K30" s="164">
        <f t="shared" si="7"/>
        <v>3950.2585298476074</v>
      </c>
      <c r="L30" s="164">
        <f t="shared" si="8"/>
        <v>3154.4844031920234</v>
      </c>
      <c r="M30" s="164">
        <f t="shared" si="9"/>
        <v>2577.0177687319447</v>
      </c>
      <c r="N30" s="164">
        <f t="shared" si="10"/>
        <v>2144.7387031859585</v>
      </c>
      <c r="O30" s="164">
        <f t="shared" si="11"/>
        <v>1812.7617186917737</v>
      </c>
      <c r="P30" s="164">
        <f t="shared" si="12"/>
        <v>1599.6914707647331</v>
      </c>
      <c r="Q30" s="164">
        <f t="shared" si="13"/>
        <v>1382.3162163561155</v>
      </c>
      <c r="R30" s="165">
        <f t="shared" si="14"/>
        <v>1238.8010749602095</v>
      </c>
    </row>
    <row r="31" spans="1:18" ht="15.75">
      <c r="A31" s="78"/>
      <c r="B31" s="105">
        <v>2000</v>
      </c>
      <c r="C31" s="106">
        <f>B31*3600*1000/(C5*(C2-C3)*C6)</f>
        <v>87.86955861656214</v>
      </c>
      <c r="D31" s="157">
        <f t="shared" si="0"/>
        <v>45686.741606328105</v>
      </c>
      <c r="E31" s="157">
        <f t="shared" si="1"/>
        <v>23830.430035399542</v>
      </c>
      <c r="F31" s="157">
        <f t="shared" si="2"/>
        <v>15952.601924523658</v>
      </c>
      <c r="G31" s="164">
        <f t="shared" si="3"/>
        <v>10591.30223795535</v>
      </c>
      <c r="H31" s="164">
        <f t="shared" si="4"/>
        <v>8034.40096927102</v>
      </c>
      <c r="I31" s="164">
        <f t="shared" si="5"/>
        <v>6302.905576709756</v>
      </c>
      <c r="J31" s="164">
        <f t="shared" si="6"/>
        <v>5346.9939968625</v>
      </c>
      <c r="K31" s="164">
        <f t="shared" si="7"/>
        <v>4377.017761603997</v>
      </c>
      <c r="L31" s="164">
        <f t="shared" si="8"/>
        <v>3495.2735769440706</v>
      </c>
      <c r="M31" s="164">
        <f t="shared" si="9"/>
        <v>2855.4213503955066</v>
      </c>
      <c r="N31" s="164">
        <f t="shared" si="10"/>
        <v>2376.441776383334</v>
      </c>
      <c r="O31" s="164">
        <f t="shared" si="11"/>
        <v>2008.600242317755</v>
      </c>
      <c r="P31" s="164">
        <f t="shared" si="12"/>
        <v>1772.5113249470728</v>
      </c>
      <c r="Q31" s="164">
        <f t="shared" si="13"/>
        <v>1531.6523172920947</v>
      </c>
      <c r="R31" s="165">
        <f t="shared" si="14"/>
        <v>1372.6327700390134</v>
      </c>
    </row>
    <row r="32" spans="1:18" ht="15.75">
      <c r="A32" s="78"/>
      <c r="B32" s="105">
        <v>2100</v>
      </c>
      <c r="C32" s="106">
        <f>B32*3600*1000/(C5*(C2-C3)*C6)</f>
        <v>92.26303654739024</v>
      </c>
      <c r="D32" s="157">
        <f t="shared" si="0"/>
        <v>50369.63262097672</v>
      </c>
      <c r="E32" s="157">
        <f t="shared" si="1"/>
        <v>26273.04911402799</v>
      </c>
      <c r="F32" s="157">
        <f t="shared" si="2"/>
        <v>17587.74362178733</v>
      </c>
      <c r="G32" s="164">
        <f t="shared" si="3"/>
        <v>11676.910717345769</v>
      </c>
      <c r="H32" s="164">
        <f t="shared" si="4"/>
        <v>8857.927068621297</v>
      </c>
      <c r="I32" s="164">
        <f t="shared" si="5"/>
        <v>6948.953398322505</v>
      </c>
      <c r="J32" s="164">
        <f t="shared" si="6"/>
        <v>5895.060881540905</v>
      </c>
      <c r="K32" s="164">
        <f t="shared" si="7"/>
        <v>4825.6620821684055</v>
      </c>
      <c r="L32" s="164">
        <f t="shared" si="8"/>
        <v>3853.5391185808367</v>
      </c>
      <c r="M32" s="164">
        <f t="shared" si="9"/>
        <v>3148.102038811045</v>
      </c>
      <c r="N32" s="164">
        <f t="shared" si="10"/>
        <v>2620.0270584626246</v>
      </c>
      <c r="O32" s="164">
        <f t="shared" si="11"/>
        <v>2214.481767155324</v>
      </c>
      <c r="P32" s="164">
        <f t="shared" si="12"/>
        <v>1954.1937357541472</v>
      </c>
      <c r="Q32" s="164">
        <f t="shared" si="13"/>
        <v>1688.646679814534</v>
      </c>
      <c r="R32" s="165">
        <f t="shared" si="14"/>
        <v>1513.3276289680118</v>
      </c>
    </row>
    <row r="33" spans="1:18" ht="15.75">
      <c r="A33" s="78"/>
      <c r="B33" s="105">
        <v>2200</v>
      </c>
      <c r="C33" s="106">
        <f>B33*3600*1000/(C5*(C2-C3)*C6)</f>
        <v>96.65651447821836</v>
      </c>
      <c r="D33" s="157">
        <f t="shared" si="0"/>
        <v>55280.957343657006</v>
      </c>
      <c r="E33" s="157">
        <f t="shared" si="1"/>
        <v>28834.820342833445</v>
      </c>
      <c r="F33" s="157">
        <f t="shared" si="2"/>
        <v>19302.648328673626</v>
      </c>
      <c r="G33" s="157">
        <f t="shared" si="3"/>
        <v>12815.475707925973</v>
      </c>
      <c r="H33" s="164">
        <f t="shared" si="4"/>
        <v>9721.625172817934</v>
      </c>
      <c r="I33" s="164">
        <f t="shared" si="5"/>
        <v>7626.515747818805</v>
      </c>
      <c r="J33" s="164">
        <f t="shared" si="6"/>
        <v>6469.862736203625</v>
      </c>
      <c r="K33" s="164">
        <f t="shared" si="7"/>
        <v>5296.191491540837</v>
      </c>
      <c r="L33" s="164">
        <f t="shared" si="8"/>
        <v>4229.281028102325</v>
      </c>
      <c r="M33" s="164">
        <f t="shared" si="9"/>
        <v>3455.059833978563</v>
      </c>
      <c r="N33" s="164">
        <f t="shared" si="10"/>
        <v>2875.4945494238336</v>
      </c>
      <c r="O33" s="164">
        <f t="shared" si="11"/>
        <v>2430.4062932044835</v>
      </c>
      <c r="P33" s="164">
        <f t="shared" si="12"/>
        <v>2144.738703185958</v>
      </c>
      <c r="Q33" s="164">
        <f t="shared" si="13"/>
        <v>1853.2993039234348</v>
      </c>
      <c r="R33" s="165">
        <f t="shared" si="14"/>
        <v>1660.885651747206</v>
      </c>
    </row>
    <row r="34" spans="1:18" ht="15.75">
      <c r="A34" s="78"/>
      <c r="B34" s="105">
        <v>2300</v>
      </c>
      <c r="C34" s="106">
        <f>B34*3600*1000/(C5*(C2-C3)*C6)</f>
        <v>101.04999240904647</v>
      </c>
      <c r="D34" s="157">
        <f t="shared" si="0"/>
        <v>60420.715774368924</v>
      </c>
      <c r="E34" s="157">
        <f t="shared" si="1"/>
        <v>31515.743721815896</v>
      </c>
      <c r="F34" s="157">
        <f t="shared" si="2"/>
        <v>21097.31604518254</v>
      </c>
      <c r="G34" s="157">
        <f t="shared" si="3"/>
        <v>14006.99720969595</v>
      </c>
      <c r="H34" s="164">
        <f t="shared" si="4"/>
        <v>10625.495281860924</v>
      </c>
      <c r="I34" s="164">
        <f t="shared" si="5"/>
        <v>8335.592625198653</v>
      </c>
      <c r="J34" s="164">
        <f t="shared" si="6"/>
        <v>7071.3995608506575</v>
      </c>
      <c r="K34" s="164">
        <f t="shared" si="7"/>
        <v>5788.605989721287</v>
      </c>
      <c r="L34" s="164">
        <f t="shared" si="8"/>
        <v>4622.499305508533</v>
      </c>
      <c r="M34" s="164">
        <f t="shared" si="9"/>
        <v>3776.2947358980578</v>
      </c>
      <c r="N34" s="164">
        <f t="shared" si="10"/>
        <v>3142.844249266959</v>
      </c>
      <c r="O34" s="164">
        <f t="shared" si="11"/>
        <v>2656.373820465231</v>
      </c>
      <c r="P34" s="164">
        <f t="shared" si="12"/>
        <v>2344.1462272425038</v>
      </c>
      <c r="Q34" s="164">
        <f t="shared" si="13"/>
        <v>2025.6101896187954</v>
      </c>
      <c r="R34" s="165">
        <f t="shared" si="14"/>
        <v>1815.3068383765954</v>
      </c>
    </row>
    <row r="35" spans="1:18" ht="15.75">
      <c r="A35" s="78"/>
      <c r="B35" s="105">
        <v>2400</v>
      </c>
      <c r="C35" s="106">
        <f>B35*3600*1000/(C5*(C2-C3)*C6)</f>
        <v>105.44347033987457</v>
      </c>
      <c r="D35" s="157">
        <f t="shared" si="0"/>
        <v>65788.90791311246</v>
      </c>
      <c r="E35" s="157">
        <f t="shared" si="1"/>
        <v>34315.819250975335</v>
      </c>
      <c r="F35" s="157">
        <f t="shared" si="2"/>
        <v>22971.746771314065</v>
      </c>
      <c r="G35" s="157">
        <f t="shared" si="3"/>
        <v>15251.475222655701</v>
      </c>
      <c r="H35" s="164">
        <f t="shared" si="4"/>
        <v>11569.537395750267</v>
      </c>
      <c r="I35" s="164">
        <f t="shared" si="5"/>
        <v>9076.184030462047</v>
      </c>
      <c r="J35" s="164">
        <f t="shared" si="6"/>
        <v>7699.671355482</v>
      </c>
      <c r="K35" s="164">
        <f t="shared" si="7"/>
        <v>6302.905576709755</v>
      </c>
      <c r="L35" s="164">
        <f t="shared" si="8"/>
        <v>5033.193950799461</v>
      </c>
      <c r="M35" s="164">
        <f t="shared" si="9"/>
        <v>4111.806744569529</v>
      </c>
      <c r="N35" s="164">
        <f t="shared" si="10"/>
        <v>3422.076157992</v>
      </c>
      <c r="O35" s="164">
        <f t="shared" si="11"/>
        <v>2892.3843489375668</v>
      </c>
      <c r="P35" s="164">
        <f t="shared" si="12"/>
        <v>2552.4163079237846</v>
      </c>
      <c r="Q35" s="164">
        <f t="shared" si="13"/>
        <v>2205.579336900616</v>
      </c>
      <c r="R35" s="165">
        <f t="shared" si="14"/>
        <v>1976.591188856179</v>
      </c>
    </row>
    <row r="36" spans="1:18" ht="15.75">
      <c r="A36" s="78"/>
      <c r="B36" s="105">
        <v>2500</v>
      </c>
      <c r="C36" s="106">
        <f>B36*3600*1000/(C5*(C2-C3)*C6)</f>
        <v>109.83694827070268</v>
      </c>
      <c r="D36" s="157">
        <f t="shared" si="0"/>
        <v>71385.53375988766</v>
      </c>
      <c r="E36" s="157">
        <f t="shared" si="1"/>
        <v>37235.04693031178</v>
      </c>
      <c r="F36" s="157">
        <f t="shared" si="2"/>
        <v>24925.940507068215</v>
      </c>
      <c r="G36" s="157">
        <f t="shared" si="3"/>
        <v>16548.90974680523</v>
      </c>
      <c r="H36" s="157">
        <f t="shared" si="4"/>
        <v>12553.751514485966</v>
      </c>
      <c r="I36" s="164">
        <f t="shared" si="5"/>
        <v>9848.289963608993</v>
      </c>
      <c r="J36" s="164">
        <f t="shared" si="6"/>
        <v>8354.678120097657</v>
      </c>
      <c r="K36" s="164">
        <f t="shared" si="7"/>
        <v>6839.090252506246</v>
      </c>
      <c r="L36" s="164">
        <f t="shared" si="8"/>
        <v>5461.364963975109</v>
      </c>
      <c r="M36" s="164">
        <f t="shared" si="9"/>
        <v>4461.595859992979</v>
      </c>
      <c r="N36" s="164">
        <f t="shared" si="10"/>
        <v>3713.1902755989586</v>
      </c>
      <c r="O36" s="164">
        <f t="shared" si="11"/>
        <v>3138.4378786214916</v>
      </c>
      <c r="P36" s="164">
        <f t="shared" si="12"/>
        <v>2769.548945229801</v>
      </c>
      <c r="Q36" s="164">
        <f t="shared" si="13"/>
        <v>2393.2067457688977</v>
      </c>
      <c r="R36" s="165">
        <f t="shared" si="14"/>
        <v>2144.7387031859585</v>
      </c>
    </row>
    <row r="37" spans="1:18" ht="15.75">
      <c r="A37" s="78"/>
      <c r="B37" s="105">
        <v>2600</v>
      </c>
      <c r="C37" s="106">
        <f>B37*3600*1000/(C5*(C2-C3)*C6)</f>
        <v>114.23042620153079</v>
      </c>
      <c r="D37" s="157">
        <f t="shared" si="0"/>
        <v>77210.5933146945</v>
      </c>
      <c r="E37" s="157">
        <f t="shared" si="1"/>
        <v>40273.426759825226</v>
      </c>
      <c r="F37" s="157">
        <f t="shared" si="2"/>
        <v>26959.897252444982</v>
      </c>
      <c r="G37" s="157">
        <f t="shared" si="3"/>
        <v>17899.30078214454</v>
      </c>
      <c r="H37" s="157">
        <f t="shared" si="4"/>
        <v>13578.137638068023</v>
      </c>
      <c r="I37" s="164">
        <f t="shared" si="5"/>
        <v>10651.910424639487</v>
      </c>
      <c r="J37" s="164">
        <f t="shared" si="6"/>
        <v>9036.419854697626</v>
      </c>
      <c r="K37" s="164">
        <f t="shared" si="7"/>
        <v>7397.160017110756</v>
      </c>
      <c r="L37" s="164">
        <f t="shared" si="8"/>
        <v>5907.0123450354795</v>
      </c>
      <c r="M37" s="164">
        <f t="shared" si="9"/>
        <v>4825.662082168406</v>
      </c>
      <c r="N37" s="164">
        <f t="shared" si="10"/>
        <v>4016.1866020878338</v>
      </c>
      <c r="O37" s="164">
        <f t="shared" si="11"/>
        <v>3394.5344095170058</v>
      </c>
      <c r="P37" s="164">
        <f t="shared" si="12"/>
        <v>2995.544139160553</v>
      </c>
      <c r="Q37" s="164">
        <f t="shared" si="13"/>
        <v>2588.4924162236402</v>
      </c>
      <c r="R37" s="165">
        <f t="shared" si="14"/>
        <v>2319.7493813659325</v>
      </c>
    </row>
    <row r="38" spans="1:18" ht="15.75">
      <c r="A38" s="78"/>
      <c r="B38" s="105">
        <v>2700</v>
      </c>
      <c r="C38" s="106">
        <f>B38*3600*1000/(C5*(C2-C3)*C6)</f>
        <v>118.62390413235889</v>
      </c>
      <c r="D38" s="157">
        <f t="shared" si="0"/>
        <v>83264.08657753296</v>
      </c>
      <c r="E38" s="157">
        <f t="shared" si="1"/>
        <v>43430.958739515656</v>
      </c>
      <c r="F38" s="157">
        <f t="shared" si="2"/>
        <v>29073.61700744436</v>
      </c>
      <c r="G38" s="157">
        <f t="shared" si="3"/>
        <v>19302.648328673622</v>
      </c>
      <c r="H38" s="157">
        <f t="shared" si="4"/>
        <v>14642.69576649643</v>
      </c>
      <c r="I38" s="164">
        <f t="shared" si="5"/>
        <v>11487.04541355353</v>
      </c>
      <c r="J38" s="164">
        <f t="shared" si="6"/>
        <v>9744.896559281906</v>
      </c>
      <c r="K38" s="164">
        <f t="shared" si="7"/>
        <v>7977.1148705232845</v>
      </c>
      <c r="L38" s="164">
        <f t="shared" si="8"/>
        <v>6370.136093980567</v>
      </c>
      <c r="M38" s="164">
        <f t="shared" si="9"/>
        <v>5204.00541109581</v>
      </c>
      <c r="N38" s="164">
        <f t="shared" si="10"/>
        <v>4331.065137458625</v>
      </c>
      <c r="O38" s="164">
        <f t="shared" si="11"/>
        <v>3660.6739416241076</v>
      </c>
      <c r="P38" s="164">
        <f t="shared" si="12"/>
        <v>3230.4018897160395</v>
      </c>
      <c r="Q38" s="164">
        <f t="shared" si="13"/>
        <v>2791.4363482648423</v>
      </c>
      <c r="R38" s="165">
        <f t="shared" si="14"/>
        <v>2501.6232233961014</v>
      </c>
    </row>
    <row r="39" spans="1:18" ht="15.75">
      <c r="A39" s="78"/>
      <c r="B39" s="105">
        <v>2800</v>
      </c>
      <c r="C39" s="106">
        <f>B39*3600*1000/(C5*(C2-C3)*C6)</f>
        <v>123.017382063187</v>
      </c>
      <c r="D39" s="157">
        <f t="shared" si="0"/>
        <v>89546.01354840309</v>
      </c>
      <c r="E39" s="157">
        <f t="shared" si="1"/>
        <v>46707.642869383104</v>
      </c>
      <c r="F39" s="157">
        <f t="shared" si="2"/>
        <v>31267.099772066373</v>
      </c>
      <c r="G39" s="157">
        <f t="shared" si="3"/>
        <v>20758.952386392484</v>
      </c>
      <c r="H39" s="157">
        <f t="shared" si="4"/>
        <v>15747.425899771199</v>
      </c>
      <c r="I39" s="157">
        <f t="shared" si="5"/>
        <v>12353.694930351123</v>
      </c>
      <c r="J39" s="164">
        <f t="shared" si="6"/>
        <v>10480.108233850502</v>
      </c>
      <c r="K39" s="164">
        <f t="shared" si="7"/>
        <v>8578.954812743836</v>
      </c>
      <c r="L39" s="164">
        <f t="shared" si="8"/>
        <v>6850.736210810378</v>
      </c>
      <c r="M39" s="164">
        <f t="shared" si="9"/>
        <v>5596.625846775193</v>
      </c>
      <c r="N39" s="164">
        <f t="shared" si="10"/>
        <v>4657.825881711334</v>
      </c>
      <c r="O39" s="164">
        <f t="shared" si="11"/>
        <v>3936.8564749427997</v>
      </c>
      <c r="P39" s="164">
        <f t="shared" si="12"/>
        <v>3474.1221968962627</v>
      </c>
      <c r="Q39" s="164">
        <f t="shared" si="13"/>
        <v>3002.0385418925057</v>
      </c>
      <c r="R39" s="165">
        <f t="shared" si="14"/>
        <v>2690.3602292764663</v>
      </c>
    </row>
    <row r="40" spans="1:18" ht="15.75">
      <c r="A40" s="78"/>
      <c r="B40" s="105">
        <v>2900</v>
      </c>
      <c r="C40" s="106">
        <f>B40*3600*1000/(C5*(C2-C3)*C6)</f>
        <v>127.41085999401511</v>
      </c>
      <c r="D40" s="157">
        <f t="shared" si="0"/>
        <v>96056.37422730486</v>
      </c>
      <c r="E40" s="157">
        <f t="shared" si="1"/>
        <v>50103.47914942754</v>
      </c>
      <c r="F40" s="157">
        <f t="shared" si="2"/>
        <v>33540.34554631099</v>
      </c>
      <c r="G40" s="157">
        <f t="shared" si="3"/>
        <v>22268.212955301122</v>
      </c>
      <c r="H40" s="157">
        <f t="shared" si="4"/>
        <v>16892.32803789232</v>
      </c>
      <c r="I40" s="157">
        <f t="shared" si="5"/>
        <v>13251.858975032264</v>
      </c>
      <c r="J40" s="164">
        <f t="shared" si="6"/>
        <v>11242.054878403409</v>
      </c>
      <c r="K40" s="164">
        <f t="shared" si="7"/>
        <v>9202.679843772405</v>
      </c>
      <c r="L40" s="164">
        <f t="shared" si="8"/>
        <v>7348.812695524909</v>
      </c>
      <c r="M40" s="164">
        <f t="shared" si="9"/>
        <v>6003.5233892065535</v>
      </c>
      <c r="N40" s="164">
        <f t="shared" si="10"/>
        <v>4996.4688348459595</v>
      </c>
      <c r="O40" s="164">
        <f t="shared" si="11"/>
        <v>4223.08200947308</v>
      </c>
      <c r="P40" s="164">
        <f t="shared" si="12"/>
        <v>3726.705060701221</v>
      </c>
      <c r="Q40" s="164">
        <f t="shared" si="13"/>
        <v>3220.2989971066295</v>
      </c>
      <c r="R40" s="165">
        <f t="shared" si="14"/>
        <v>2885.960399007026</v>
      </c>
    </row>
    <row r="41" spans="1:18" ht="16.5" thickBot="1">
      <c r="A41" s="78"/>
      <c r="B41" s="107">
        <v>3000</v>
      </c>
      <c r="C41" s="108">
        <f>B41*3600*1000/(C5*(C2-C3)*C6)</f>
        <v>131.80433792484322</v>
      </c>
      <c r="D41" s="152">
        <f t="shared" si="0"/>
        <v>102795.16861423825</v>
      </c>
      <c r="E41" s="152">
        <f t="shared" si="1"/>
        <v>53618.467579648976</v>
      </c>
      <c r="F41" s="152">
        <f t="shared" si="2"/>
        <v>35893.354330178234</v>
      </c>
      <c r="G41" s="152">
        <f t="shared" si="3"/>
        <v>23830.43003539954</v>
      </c>
      <c r="H41" s="152">
        <f t="shared" si="4"/>
        <v>18077.402180859797</v>
      </c>
      <c r="I41" s="152">
        <f t="shared" si="5"/>
        <v>14181.537547596952</v>
      </c>
      <c r="J41" s="152">
        <f t="shared" si="6"/>
        <v>12030.736492940627</v>
      </c>
      <c r="K41" s="166">
        <f t="shared" si="7"/>
        <v>9848.289963608995</v>
      </c>
      <c r="L41" s="166">
        <f t="shared" si="8"/>
        <v>7864.365548124159</v>
      </c>
      <c r="M41" s="166">
        <f t="shared" si="9"/>
        <v>6424.698038389891</v>
      </c>
      <c r="N41" s="166">
        <f t="shared" si="10"/>
        <v>5346.993996862501</v>
      </c>
      <c r="O41" s="166">
        <f t="shared" si="11"/>
        <v>4519.350545214949</v>
      </c>
      <c r="P41" s="166">
        <f t="shared" si="12"/>
        <v>3988.150481130914</v>
      </c>
      <c r="Q41" s="166">
        <f t="shared" si="13"/>
        <v>3446.2177139072137</v>
      </c>
      <c r="R41" s="167">
        <f t="shared" si="14"/>
        <v>3088.4237325877807</v>
      </c>
    </row>
    <row r="42" spans="1:19" ht="15.75" thickBot="1">
      <c r="A42" s="78"/>
      <c r="B42" s="96"/>
      <c r="C42" s="118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53"/>
    </row>
    <row r="43" spans="1:18" ht="16.5" thickBot="1">
      <c r="A43" s="78"/>
      <c r="B43" s="125">
        <f>C43*(C5*(C2-C3)*C6)/3600000</f>
        <v>1138.0505555555555</v>
      </c>
      <c r="C43" s="124">
        <v>50</v>
      </c>
      <c r="D43" s="123">
        <f>C43*C43/(0.13*0.13*10)</f>
        <v>14792.899408284022</v>
      </c>
      <c r="E43" s="120">
        <f>C43*C43/(0.18*0.18*10)</f>
        <v>7716.049382716051</v>
      </c>
      <c r="F43" s="121">
        <f t="shared" si="2"/>
        <v>5165.289256198347</v>
      </c>
      <c r="G43" s="121">
        <f>C43*C43/(0.27*0.27*10)</f>
        <v>3429.3552812071325</v>
      </c>
      <c r="H43" s="121">
        <f t="shared" si="4"/>
        <v>2601.456815816857</v>
      </c>
      <c r="I43" s="121">
        <f t="shared" si="5"/>
        <v>2040.8163265306125</v>
      </c>
      <c r="J43" s="121">
        <f t="shared" si="6"/>
        <v>1731.301939058172</v>
      </c>
      <c r="K43" s="121">
        <f t="shared" si="7"/>
        <v>1417.2335600907031</v>
      </c>
      <c r="L43" s="121">
        <f t="shared" si="8"/>
        <v>1131.7338162064284</v>
      </c>
      <c r="M43" s="121">
        <f t="shared" si="9"/>
        <v>924.5562130177514</v>
      </c>
      <c r="N43" s="121">
        <f t="shared" si="10"/>
        <v>769.4675284702986</v>
      </c>
      <c r="O43" s="121">
        <f t="shared" si="11"/>
        <v>650.3642039542143</v>
      </c>
      <c r="P43" s="121">
        <f t="shared" si="12"/>
        <v>573.9210284664829</v>
      </c>
      <c r="Q43" s="121">
        <f t="shared" si="13"/>
        <v>495.9333465582225</v>
      </c>
      <c r="R43" s="122">
        <f t="shared" si="14"/>
        <v>444.44444444444446</v>
      </c>
    </row>
    <row r="44" spans="1:9" ht="15">
      <c r="A44" s="78"/>
      <c r="B44" s="79"/>
      <c r="C44" s="79"/>
      <c r="D44" s="79"/>
      <c r="E44" s="79"/>
      <c r="F44" s="79"/>
      <c r="G44" s="79"/>
      <c r="H44" s="79"/>
      <c r="I44" s="79"/>
    </row>
    <row r="45" spans="1:9" ht="15">
      <c r="A45" s="78"/>
      <c r="B45" s="79"/>
      <c r="C45" s="79"/>
      <c r="D45" s="79"/>
      <c r="E45" s="79"/>
      <c r="F45" s="79"/>
      <c r="G45" s="79"/>
      <c r="H45" s="79"/>
      <c r="I45" s="79"/>
    </row>
    <row r="46" spans="1:9" ht="15">
      <c r="A46" s="78"/>
      <c r="B46" s="79"/>
      <c r="C46" s="79"/>
      <c r="D46" s="79"/>
      <c r="E46" s="79"/>
      <c r="F46" s="79"/>
      <c r="G46" s="79"/>
      <c r="H46" s="79"/>
      <c r="I46" s="79"/>
    </row>
    <row r="47" spans="1:9" ht="12.75" hidden="1">
      <c r="A47" s="78"/>
      <c r="B47" s="78"/>
      <c r="C47">
        <f>(C2+C3)/2</f>
        <v>70</v>
      </c>
      <c r="D47" s="78"/>
      <c r="E47" s="78"/>
      <c r="F47" s="78"/>
      <c r="G47" s="78"/>
      <c r="H47" s="78"/>
      <c r="I47" s="78"/>
    </row>
    <row r="48" spans="1:9" ht="12.75">
      <c r="A48" s="78"/>
      <c r="B48" s="78"/>
      <c r="C48" s="78"/>
      <c r="D48" s="78"/>
      <c r="E48" s="78"/>
      <c r="F48" s="78"/>
      <c r="G48" s="78"/>
      <c r="H48" s="78"/>
      <c r="I48" s="78"/>
    </row>
  </sheetData>
  <sheetProtection password="CAA5" sheet="1" objects="1" scenarios="1" selectLockedCells="1"/>
  <mergeCells count="3">
    <mergeCell ref="D2:I2"/>
    <mergeCell ref="B11:C11"/>
    <mergeCell ref="D11:I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6" sqref="B6"/>
    </sheetView>
  </sheetViews>
  <sheetFormatPr defaultColWidth="9.00390625" defaultRowHeight="12.75"/>
  <cols>
    <col min="6" max="6" width="10.75390625" style="0" customWidth="1"/>
  </cols>
  <sheetData>
    <row r="1" spans="1:7" ht="12.75">
      <c r="A1" s="126" t="s">
        <v>93</v>
      </c>
      <c r="F1" s="127"/>
      <c r="G1" s="128"/>
    </row>
    <row r="2" ht="12.75">
      <c r="A2" s="126"/>
    </row>
    <row r="3" ht="12.75">
      <c r="A3" s="129"/>
    </row>
    <row r="4" spans="1:3" ht="12.75">
      <c r="A4" s="146" t="s">
        <v>98</v>
      </c>
      <c r="B4" s="131">
        <v>57</v>
      </c>
      <c r="C4" t="s">
        <v>101</v>
      </c>
    </row>
    <row r="5" spans="1:6" ht="12.75">
      <c r="A5" s="147" t="s">
        <v>96</v>
      </c>
      <c r="B5" s="131">
        <v>1</v>
      </c>
      <c r="C5" t="s">
        <v>99</v>
      </c>
      <c r="F5" s="127"/>
    </row>
    <row r="6" spans="1:3" ht="12.75">
      <c r="A6" s="147" t="s">
        <v>97</v>
      </c>
      <c r="B6" s="131">
        <v>4</v>
      </c>
      <c r="C6" t="s">
        <v>100</v>
      </c>
    </row>
    <row r="7" spans="1:2" ht="12.75">
      <c r="A7" s="147"/>
      <c r="B7" s="131"/>
    </row>
    <row r="8" spans="1:3" ht="12.75">
      <c r="A8" s="147" t="s">
        <v>102</v>
      </c>
      <c r="B8" s="149">
        <f>B6*(3.1416*B4*B4*0.5/1000000+3.1416*B4*B5/1000)</f>
        <v>0.7366989168000001</v>
      </c>
      <c r="C8" t="s">
        <v>103</v>
      </c>
    </row>
    <row r="9" spans="1:2" ht="12.75">
      <c r="A9" s="132"/>
      <c r="B9" s="133"/>
    </row>
    <row r="10" spans="1:3" ht="12.75">
      <c r="A10" s="130" t="s">
        <v>87</v>
      </c>
      <c r="B10" s="150">
        <f>12.221*60</f>
        <v>733.26</v>
      </c>
      <c r="C10" t="s">
        <v>106</v>
      </c>
    </row>
    <row r="11" spans="1:3" ht="12.75">
      <c r="A11" s="130" t="s">
        <v>95</v>
      </c>
      <c r="B11" s="148">
        <f>B8*B10</f>
        <v>540.1918477327681</v>
      </c>
      <c r="C11" t="s">
        <v>105</v>
      </c>
    </row>
    <row r="12" ht="12.75">
      <c r="A12" s="130"/>
    </row>
    <row r="13" spans="1:5" ht="12.75">
      <c r="A13" s="135" t="s">
        <v>82</v>
      </c>
      <c r="B13" s="145">
        <v>1.31</v>
      </c>
      <c r="C13" s="136" t="s">
        <v>94</v>
      </c>
      <c r="D13" s="136"/>
      <c r="E13" s="136"/>
    </row>
    <row r="14" spans="1:5" ht="12.75" hidden="1">
      <c r="A14" s="135" t="s">
        <v>83</v>
      </c>
      <c r="B14" s="137">
        <f>(90-70)/LN((90-20)/(70-20))</f>
        <v>59.44026823976924</v>
      </c>
      <c r="C14" s="136"/>
      <c r="D14" s="136"/>
      <c r="E14" s="136"/>
    </row>
    <row r="15" spans="1:2" ht="12.75">
      <c r="A15" s="130"/>
      <c r="B15" s="138"/>
    </row>
    <row r="16" spans="1:2" ht="12.75">
      <c r="A16" s="130"/>
      <c r="B16" s="138"/>
    </row>
    <row r="17" spans="1:2" ht="12.75">
      <c r="A17" s="139" t="s">
        <v>84</v>
      </c>
      <c r="B17" s="140"/>
    </row>
    <row r="18" spans="1:2" ht="12.75">
      <c r="A18" s="130"/>
      <c r="B18" s="138"/>
    </row>
    <row r="19" spans="1:3" ht="12.75">
      <c r="A19" s="130" t="s">
        <v>71</v>
      </c>
      <c r="B19" s="131">
        <v>80</v>
      </c>
      <c r="C19" t="s">
        <v>72</v>
      </c>
    </row>
    <row r="20" spans="1:3" ht="12.75">
      <c r="A20" s="130" t="s">
        <v>75</v>
      </c>
      <c r="B20" s="131">
        <v>60</v>
      </c>
      <c r="C20" t="s">
        <v>76</v>
      </c>
    </row>
    <row r="21" spans="1:3" ht="12.75">
      <c r="A21" s="130" t="s">
        <v>77</v>
      </c>
      <c r="B21" s="131">
        <v>16</v>
      </c>
      <c r="C21" t="s">
        <v>78</v>
      </c>
    </row>
    <row r="22" spans="1:2" ht="13.5" customHeight="1">
      <c r="A22" s="132" t="s">
        <v>79</v>
      </c>
      <c r="B22" s="133">
        <f>(B19+B20)/2-B21</f>
        <v>54</v>
      </c>
    </row>
    <row r="23" ht="12.75" hidden="1"/>
    <row r="24" ht="12.75" hidden="1"/>
    <row r="25" spans="1:5" ht="12.75" hidden="1">
      <c r="A25" s="141" t="s">
        <v>85</v>
      </c>
      <c r="B25" s="142">
        <f>POWER(((B19-B20)/LN((B19-B21)/(B20-B21)))/B14,B13)</f>
        <v>0.8685359636483709</v>
      </c>
      <c r="C25" s="136" t="s">
        <v>86</v>
      </c>
      <c r="D25" s="136"/>
      <c r="E25" s="136"/>
    </row>
    <row r="26" spans="1:5" ht="12.75" hidden="1">
      <c r="A26" s="136"/>
      <c r="B26" s="136"/>
      <c r="C26" s="136"/>
      <c r="D26" s="136"/>
      <c r="E26" s="136"/>
    </row>
    <row r="27" spans="1:5" ht="12.75">
      <c r="A27" s="141" t="s">
        <v>87</v>
      </c>
      <c r="B27" s="143">
        <f>B11*B25</f>
        <v>469.17604702557384</v>
      </c>
      <c r="C27" s="144" t="s">
        <v>20</v>
      </c>
      <c r="D27" s="136"/>
      <c r="E27" s="136"/>
    </row>
  </sheetData>
  <sheetProtection password="CAA5"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Плеханов Александр Евгеньевич</dc:creator>
  <cp:keywords/>
  <dc:description/>
  <cp:lastModifiedBy>Александр Плеханов</cp:lastModifiedBy>
  <cp:lastPrinted>2015-03-18T08:19:47Z</cp:lastPrinted>
  <dcterms:created xsi:type="dcterms:W3CDTF">2004-02-25T14:21:41Z</dcterms:created>
  <dcterms:modified xsi:type="dcterms:W3CDTF">2015-03-18T08:21:16Z</dcterms:modified>
  <cp:category/>
  <cp:version/>
  <cp:contentType/>
  <cp:contentStatus/>
</cp:coreProperties>
</file>